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7273AF19-D20C-454F-9526-F2FECD43E3EE}" xr6:coauthVersionLast="47" xr6:coauthVersionMax="47" xr10:uidLastSave="{00000000-0000-0000-0000-000000000000}"/>
  <bookViews>
    <workbookView xWindow="5760" yWindow="1644" windowWidth="17280" windowHeight="10728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'2024'!$B$30</definedName>
    <definedName name="FRAIS_KM" localSheetId="1">'2025'!$B$31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'2025'!$B$30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'2024'!$B$27</definedName>
    <definedName name="SOLDE" localSheetId="1">'2025'!$B$28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5" l="1"/>
  <c r="K26" i="15"/>
  <c r="L26" i="15"/>
  <c r="M26" i="15"/>
  <c r="N26" i="15"/>
  <c r="J26" i="15"/>
  <c r="J25" i="15"/>
  <c r="J23" i="15"/>
  <c r="J17" i="15"/>
  <c r="I23" i="15"/>
  <c r="H23" i="15"/>
  <c r="H17" i="15"/>
  <c r="I17" i="15"/>
  <c r="G23" i="15"/>
  <c r="G17" i="15"/>
  <c r="F23" i="15"/>
  <c r="F17" i="15"/>
  <c r="E17" i="15" l="1"/>
  <c r="E23" i="15"/>
  <c r="D23" i="15" l="1"/>
  <c r="D17" i="15"/>
  <c r="D19" i="15" s="1"/>
  <c r="C23" i="15"/>
  <c r="C17" i="15"/>
  <c r="C19" i="15" s="1"/>
  <c r="P31" i="15"/>
  <c r="P30" i="15"/>
  <c r="P33" i="15" s="1"/>
  <c r="I26" i="15"/>
  <c r="G26" i="15"/>
  <c r="F26" i="15"/>
  <c r="E26" i="15"/>
  <c r="D26" i="15"/>
  <c r="C26" i="15"/>
  <c r="P24" i="15"/>
  <c r="P23" i="15"/>
  <c r="P22" i="15"/>
  <c r="H26" i="15"/>
  <c r="G19" i="15"/>
  <c r="F19" i="15"/>
  <c r="E19" i="15"/>
  <c r="P18" i="15"/>
  <c r="N19" i="15"/>
  <c r="N28" i="15" s="1"/>
  <c r="M19" i="15"/>
  <c r="M28" i="15" s="1"/>
  <c r="L19" i="15"/>
  <c r="K19" i="15"/>
  <c r="J19" i="15"/>
  <c r="I19" i="15"/>
  <c r="H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K28" i="15" l="1"/>
  <c r="I28" i="15"/>
  <c r="F28" i="15"/>
  <c r="G28" i="15"/>
  <c r="D28" i="15"/>
  <c r="E28" i="15"/>
  <c r="P34" i="15"/>
  <c r="P8" i="15"/>
  <c r="C28" i="15"/>
  <c r="J28" i="15"/>
  <c r="L28" i="15"/>
  <c r="P26" i="15"/>
  <c r="H28" i="15"/>
  <c r="P17" i="15"/>
  <c r="P19" i="15"/>
  <c r="P28" i="15" l="1"/>
  <c r="N23" i="14"/>
  <c r="N17" i="14"/>
  <c r="N19" i="14" s="1"/>
  <c r="N25" i="14"/>
  <c r="M23" i="14"/>
  <c r="M17" i="14"/>
  <c r="L17" i="14"/>
  <c r="L19" i="14" s="1"/>
  <c r="L23" i="14"/>
  <c r="L25" i="14" s="1"/>
  <c r="K23" i="14"/>
  <c r="K25" i="14" s="1"/>
  <c r="K17" i="14"/>
  <c r="K19" i="14" s="1"/>
  <c r="J23" i="14"/>
  <c r="J17" i="14"/>
  <c r="J19" i="14" s="1"/>
  <c r="I17" i="14"/>
  <c r="I19" i="14" s="1"/>
  <c r="I23" i="14"/>
  <c r="I25" i="14" s="1"/>
  <c r="H23" i="14"/>
  <c r="H22" i="14"/>
  <c r="P22" i="14" s="1"/>
  <c r="H17" i="14"/>
  <c r="H19" i="14" s="1"/>
  <c r="D25" i="14"/>
  <c r="E25" i="14"/>
  <c r="F25" i="14"/>
  <c r="G25" i="14"/>
  <c r="J25" i="14"/>
  <c r="M25" i="14"/>
  <c r="P30" i="14"/>
  <c r="P29" i="14"/>
  <c r="P32" i="14" s="1"/>
  <c r="P24" i="14"/>
  <c r="G19" i="14"/>
  <c r="F19" i="14"/>
  <c r="E19" i="14"/>
  <c r="D19" i="14"/>
  <c r="P18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4" l="1"/>
  <c r="H25" i="14"/>
  <c r="H27" i="14" s="1"/>
  <c r="E27" i="14"/>
  <c r="P8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<sst xmlns="http://schemas.openxmlformats.org/spreadsheetml/2006/main" count="84" uniqueCount="45">
  <si>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</si>
  <si>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</si>
  <si>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</si>
  <si>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</si>
  <si>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</si>
  <si>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</si>
  <si>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</si>
  <si>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</si>
  <si>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</si>
  <si>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</si>
  <si>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</si>
  <si>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</si>
  <si>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</si>
  <si>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</si>
  <si>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</si>
  <si>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</si>
  <si>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</si>
  <si>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</si>
  <si>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</si>
  <si>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</si>
  <si>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</si>
  <si>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</si>
  <si>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</si>
  <si>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</si>
  <si>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</si>
  <si>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</si>
  <si>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</si>
  <si>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</si>
  <si>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</si>
  <si>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</si>
  <si>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</si>
  <si>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</si>
  <si>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</si>
  <si>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</si>
  <si>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</si>
  <si>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</si>
  <si>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</si>
  <si>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</si>
  <si>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</si>
  <si>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</si>
  <si>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</si>
  <si>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2024)</t>
  </si>
  <si>
    <t>Frais KM annuel à payer</t>
  </si>
  <si>
    <t>Régularisation Frais KM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</si>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</sst>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topLeftCell="C1" workbookViewId="0">
      <selection activeCell="F36" sqref="F36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133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>
        <v>20</v>
      </c>
      <c r="I7" s="37">
        <v>20</v>
      </c>
      <c r="J7" s="37">
        <v>10</v>
      </c>
      <c r="K7" s="37">
        <v>21</v>
      </c>
      <c r="L7" s="37">
        <v>23</v>
      </c>
      <c r="M7" s="37">
        <v>16</v>
      </c>
      <c r="N7" s="37">
        <v>15</v>
      </c>
      <c r="O7" s="36"/>
      <c r="P7" s="57">
        <f>SUM(C7:N7)</f>
        <v>125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1</v>
      </c>
      <c r="I8" s="63">
        <f t="shared" si="0"/>
        <v>1</v>
      </c>
      <c r="J8" s="63">
        <f t="shared" si="0"/>
        <v>-9</v>
      </c>
      <c r="K8" s="63">
        <f t="shared" si="0"/>
        <v>2</v>
      </c>
      <c r="L8" s="63">
        <f t="shared" si="0"/>
        <v>4</v>
      </c>
      <c r="M8" s="63">
        <f t="shared" si="0"/>
        <v>-3</v>
      </c>
      <c r="N8" s="63">
        <f t="shared" si="0"/>
        <v>-4</v>
      </c>
      <c r="O8" s="36"/>
      <c r="P8" s="57">
        <f>SUM(C8:N8)</f>
        <v>-8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>
        <v>20</v>
      </c>
      <c r="I11" s="11">
        <v>20</v>
      </c>
      <c r="J11" s="11">
        <v>10</v>
      </c>
      <c r="K11" s="11">
        <v>21</v>
      </c>
      <c r="L11" s="11">
        <v>23</v>
      </c>
      <c r="M11" s="11">
        <v>16</v>
      </c>
      <c r="N11" s="11">
        <v>15</v>
      </c>
      <c r="P11" s="58">
        <f>SUM(C11:N11)</f>
        <v>125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3</v>
      </c>
      <c r="J12" s="12">
        <v>6</v>
      </c>
      <c r="K12" s="12"/>
      <c r="L12" s="12"/>
      <c r="M12" s="12">
        <v>3</v>
      </c>
      <c r="N12" s="12">
        <v>4</v>
      </c>
      <c r="P12" s="58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5</v>
      </c>
      <c r="K13" s="12"/>
      <c r="L13" s="12"/>
      <c r="M13" s="12"/>
      <c r="N13" s="12">
        <v>2</v>
      </c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>
        <f>H11*Params!$C$5*(1-Params!$C$3)-Params!$C$4</f>
        <v>10045</v>
      </c>
      <c r="I17" s="10">
        <f>I11*Params!$C$5*(1-Params!$C$3)-Params!$C$4</f>
        <v>10045</v>
      </c>
      <c r="J17" s="10">
        <f>J11*Params!$C$5*(1-Params!$C$3)-Params!$C$4</f>
        <v>4985</v>
      </c>
      <c r="K17" s="10">
        <f>K11*Params!$C$5*(1-Params!$C$3)-Params!$C$4</f>
        <v>10551</v>
      </c>
      <c r="L17" s="10">
        <f>L11*Params!$C$5*(1-Params!$C$3)-Params!$C$4</f>
        <v>11563</v>
      </c>
      <c r="M17" s="10">
        <f>M11*Params!$C$5*(1-Params!$C$3)-Params!$C$4</f>
        <v>8021</v>
      </c>
      <c r="N17" s="10">
        <f>N11*Params!$C$5*(1-Params!$C$3)-Params!$C$4</f>
        <v>7515</v>
      </c>
      <c r="O17" s="4"/>
      <c r="P17" s="41">
        <f>SUM(C17:N17)</f>
        <v>62725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10045</v>
      </c>
      <c r="I19" s="28">
        <f t="shared" si="1"/>
        <v>10045</v>
      </c>
      <c r="J19" s="28">
        <f t="shared" si="1"/>
        <v>4985</v>
      </c>
      <c r="K19" s="28">
        <f t="shared" si="1"/>
        <v>10551</v>
      </c>
      <c r="L19" s="28">
        <f t="shared" si="1"/>
        <v>11563</v>
      </c>
      <c r="M19" s="28">
        <f t="shared" si="1"/>
        <v>8021</v>
      </c>
      <c r="N19" s="28">
        <f t="shared" si="1"/>
        <v>7515</v>
      </c>
      <c r="O19" s="5"/>
      <c r="P19" s="42">
        <f>SUM(C19:O19)</f>
        <v>62725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>
        <f>5554.15</f>
        <v>5554.15</v>
      </c>
      <c r="I22" s="10">
        <v>5551.58</v>
      </c>
      <c r="J22" s="10">
        <v>4228.5200000000004</v>
      </c>
      <c r="K22" s="10">
        <v>5551.58</v>
      </c>
      <c r="L22" s="10">
        <v>5551.58</v>
      </c>
      <c r="M22" s="10">
        <v>5551.58</v>
      </c>
      <c r="N22" s="10">
        <v>5051.79</v>
      </c>
      <c r="O22" s="4"/>
      <c r="P22" s="43">
        <f>SUM(C22:N22)</f>
        <v>37040.780000000006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>
        <f>1155.47+2347.08</f>
        <v>3502.55</v>
      </c>
      <c r="I23" s="10">
        <f>1158.04+2351.75</f>
        <v>3509.79</v>
      </c>
      <c r="J23" s="10">
        <f>899.69+1816.76</f>
        <v>2716.45</v>
      </c>
      <c r="K23" s="10">
        <f>1158.04+2375.96</f>
        <v>3534</v>
      </c>
      <c r="L23" s="10">
        <f>1158.04+2353.99</f>
        <v>3512.0299999999997</v>
      </c>
      <c r="M23" s="10">
        <f>1158.04+2353.99</f>
        <v>3512.0299999999997</v>
      </c>
      <c r="N23" s="10">
        <f>1059.2+2157.04</f>
        <v>3216.24</v>
      </c>
      <c r="O23" s="4"/>
      <c r="P23" s="43">
        <f>SUM(C23:N23)</f>
        <v>23503.089999999997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>
        <v>414.16</v>
      </c>
      <c r="I24" s="10">
        <v>414.16</v>
      </c>
      <c r="J24" s="10">
        <v>257.08</v>
      </c>
      <c r="K24" s="10">
        <v>429.87</v>
      </c>
      <c r="L24" s="10">
        <v>461.28</v>
      </c>
      <c r="M24" s="10">
        <v>351.33</v>
      </c>
      <c r="N24" s="10">
        <v>1092.6199999999999</v>
      </c>
      <c r="O24" s="4"/>
      <c r="P24" s="43">
        <f>SUM(C24:N24)</f>
        <v>3420.5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9470.86</v>
      </c>
      <c r="I25" s="44">
        <f t="shared" si="2"/>
        <v>9475.5299999999988</v>
      </c>
      <c r="J25" s="44">
        <f t="shared" si="2"/>
        <v>7202.05</v>
      </c>
      <c r="K25" s="44">
        <f t="shared" si="2"/>
        <v>9515.4500000000007</v>
      </c>
      <c r="L25" s="44">
        <f t="shared" si="2"/>
        <v>9524.8900000000012</v>
      </c>
      <c r="M25" s="44">
        <f t="shared" si="2"/>
        <v>9414.94</v>
      </c>
      <c r="N25" s="44">
        <f t="shared" si="2"/>
        <v>9360.6499999999978</v>
      </c>
      <c r="O25" s="4"/>
      <c r="P25" s="60">
        <f>SUM(C25:N25)</f>
        <v>63964.369999999995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574.13999999999942</v>
      </c>
      <c r="I27" s="47">
        <f t="shared" si="3"/>
        <v>569.47000000000116</v>
      </c>
      <c r="J27" s="47">
        <f t="shared" si="3"/>
        <v>-2217.0500000000002</v>
      </c>
      <c r="K27" s="47">
        <f t="shared" si="3"/>
        <v>1035.5499999999993</v>
      </c>
      <c r="L27" s="47">
        <f t="shared" si="3"/>
        <v>2038.1099999999988</v>
      </c>
      <c r="M27" s="47">
        <f t="shared" si="3"/>
        <v>-1393.9400000000005</v>
      </c>
      <c r="N27" s="47">
        <f t="shared" si="3"/>
        <v>-1845.6499999999978</v>
      </c>
      <c r="P27" s="59">
        <f>SUM(C27:O27)</f>
        <v>-1239.3699999999999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>
        <v>840</v>
      </c>
      <c r="I29" s="54">
        <v>840</v>
      </c>
      <c r="J29" s="54">
        <v>420</v>
      </c>
      <c r="K29" s="54">
        <v>882</v>
      </c>
      <c r="L29" s="54">
        <v>966</v>
      </c>
      <c r="M29" s="54">
        <v>672</v>
      </c>
      <c r="N29" s="54">
        <v>630</v>
      </c>
      <c r="P29" s="61">
        <f>SUM(C29:N29)</f>
        <v>5250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>
        <v>414.16</v>
      </c>
      <c r="I30" s="54">
        <v>414.16</v>
      </c>
      <c r="J30" s="54">
        <v>257.08</v>
      </c>
      <c r="K30" s="54">
        <v>429.87</v>
      </c>
      <c r="L30" s="54">
        <v>461.28</v>
      </c>
      <c r="M30" s="54">
        <v>351.33</v>
      </c>
      <c r="N30" s="54">
        <v>1092.6199999999999</v>
      </c>
      <c r="P30" s="61">
        <f>SUM(C30:N30)</f>
        <v>3420.5</v>
      </c>
    </row>
    <row r="32" spans="2:16" x14ac:dyDescent="0.3">
      <c r="N32" s="54" t="s">
        <v>42</v>
      </c>
      <c r="P32" s="61">
        <f>(P29*0.374) + 1457</f>
        <v>3420.5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3" workbookViewId="0">
      <selection activeCell="F7" sqref="F7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6</v>
      </c>
      <c r="J6" s="37">
        <v>19</v>
      </c>
      <c r="K6" s="37"/>
      <c r="L6" s="37"/>
      <c r="M6" s="37"/>
      <c r="N6" s="37"/>
      <c r="O6" s="36"/>
      <c r="P6" s="57">
        <f>SUM(C6:N6)</f>
        <v>139</v>
      </c>
    </row>
    <row r="7" spans="2:16" x14ac:dyDescent="0.3">
      <c r="B7" s="9" t="s">
        <v>21</v>
      </c>
      <c r="C7" s="35">
        <v>22</v>
      </c>
      <c r="D7" s="35">
        <v>20</v>
      </c>
      <c r="E7" s="37">
        <v>20</v>
      </c>
      <c r="F7" s="37">
        <v>21</v>
      </c>
      <c r="G7" s="37">
        <v>18</v>
      </c>
      <c r="H7" s="37">
        <v>15</v>
      </c>
      <c r="I7" s="37">
        <v>4</v>
      </c>
      <c r="J7" s="37">
        <v>18.5</v>
      </c>
      <c r="K7" s="37"/>
      <c r="L7" s="37"/>
      <c r="M7" s="37"/>
      <c r="N7" s="37"/>
      <c r="O7" s="36"/>
      <c r="P7" s="57">
        <f>SUM(C7:N7)</f>
        <v>138.5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1</v>
      </c>
      <c r="F8" s="63">
        <f t="shared" si="0"/>
        <v>2</v>
      </c>
      <c r="G8" s="63">
        <f t="shared" si="0"/>
        <v>-1</v>
      </c>
      <c r="H8" s="63">
        <f t="shared" si="0"/>
        <v>-4</v>
      </c>
      <c r="I8" s="63">
        <f t="shared" si="0"/>
        <v>-2</v>
      </c>
      <c r="J8" s="63">
        <f t="shared" si="0"/>
        <v>-0.5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>
        <v>18</v>
      </c>
      <c r="H11" s="11">
        <v>15</v>
      </c>
      <c r="I11" s="11">
        <v>4</v>
      </c>
      <c r="J11" s="11">
        <v>18.5</v>
      </c>
      <c r="K11" s="11"/>
      <c r="L11" s="11"/>
      <c r="M11" s="11"/>
      <c r="N11" s="11"/>
      <c r="P11" s="58">
        <f>SUM(C11:N11)</f>
        <v>138.5</v>
      </c>
    </row>
    <row r="12" spans="2:16" x14ac:dyDescent="0.3">
      <c r="B12" s="9" t="s">
        <v>16</v>
      </c>
      <c r="C12" s="12"/>
      <c r="D12" s="12"/>
      <c r="E12" s="12">
        <v>1</v>
      </c>
      <c r="F12" s="12"/>
      <c r="G12" s="12">
        <v>1</v>
      </c>
      <c r="H12" s="12">
        <v>5</v>
      </c>
      <c r="I12" s="12">
        <v>6</v>
      </c>
      <c r="J12" s="12">
        <v>1.5</v>
      </c>
      <c r="K12" s="12"/>
      <c r="L12" s="12"/>
      <c r="M12" s="12"/>
      <c r="N12" s="12"/>
      <c r="P12" s="58">
        <f>SUM(C12:N12)</f>
        <v>14.5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>
        <v>12</v>
      </c>
      <c r="J13" s="12"/>
      <c r="K13" s="12"/>
      <c r="L13" s="12"/>
      <c r="M13" s="12"/>
      <c r="N13" s="12"/>
      <c r="P13" s="58">
        <f>SUM(C13:N13)</f>
        <v>12</v>
      </c>
    </row>
    <row r="14" spans="2:16" x14ac:dyDescent="0.3">
      <c r="B14" s="18" t="s">
        <v>15</v>
      </c>
      <c r="C14" s="23"/>
      <c r="D14" s="23">
        <v>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11057</v>
      </c>
      <c r="D17" s="10">
        <f>D11*Params!$C$5*(1-Params!$C$3)-Params!$C$4</f>
        <v>10045</v>
      </c>
      <c r="E17" s="10">
        <f>E11*Params!$C$5*(1-Params!$C$3)-Params!$C$4</f>
        <v>10045</v>
      </c>
      <c r="F17" s="10">
        <f>F11*Params!$C$5*(1-Params!$C$3)-Params!$C$4</f>
        <v>10551</v>
      </c>
      <c r="G17" s="10">
        <f>G11*Params!$C$5*(1-Params!$C$3)-Params!$C$4</f>
        <v>9033</v>
      </c>
      <c r="H17" s="10">
        <f>H11*Params!$C$5*(1-Params!$C$3)-Params!$C$4</f>
        <v>7515</v>
      </c>
      <c r="I17" s="10">
        <f>I11*Params!$C$5*(1-Params!$C$3)-Params!$C$4</f>
        <v>1949</v>
      </c>
      <c r="J17" s="10">
        <f>J11*Params!$C$5*(1-Params!$C$3)-Params!$C$4</f>
        <v>9286</v>
      </c>
      <c r="K17" s="10"/>
      <c r="L17" s="10"/>
      <c r="M17" s="10"/>
      <c r="N17" s="10"/>
      <c r="O17" s="4"/>
      <c r="P17" s="41">
        <f>SUM(C17:N17)</f>
        <v>69481</v>
      </c>
    </row>
    <row r="18" spans="2:16" x14ac:dyDescent="0.3">
      <c r="B18" s="9" t="s">
        <v>15</v>
      </c>
      <c r="C18" s="10"/>
      <c r="D18" s="10">
        <v>1031.2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1031.2</v>
      </c>
    </row>
    <row r="19" spans="2:16" x14ac:dyDescent="0.3">
      <c r="B19" s="27" t="s">
        <v>2</v>
      </c>
      <c r="C19" s="28">
        <f t="shared" ref="C19:N19" si="1">SUM(C17:C18)</f>
        <v>11057</v>
      </c>
      <c r="D19" s="28">
        <f t="shared" si="1"/>
        <v>11076.2</v>
      </c>
      <c r="E19" s="28">
        <f t="shared" si="1"/>
        <v>10045</v>
      </c>
      <c r="F19" s="28">
        <f t="shared" si="1"/>
        <v>10551</v>
      </c>
      <c r="G19" s="28">
        <f t="shared" si="1"/>
        <v>9033</v>
      </c>
      <c r="H19" s="28">
        <f t="shared" si="1"/>
        <v>7515</v>
      </c>
      <c r="I19" s="28">
        <f t="shared" si="1"/>
        <v>1949</v>
      </c>
      <c r="J19" s="28">
        <f t="shared" si="1"/>
        <v>9286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70512.2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5550.26</v>
      </c>
      <c r="D22" s="10">
        <v>5550.26</v>
      </c>
      <c r="E22" s="10">
        <v>5550.26</v>
      </c>
      <c r="F22" s="10">
        <v>5550.26</v>
      </c>
      <c r="G22" s="10">
        <v>5550.26</v>
      </c>
      <c r="H22" s="10">
        <v>5553.09</v>
      </c>
      <c r="I22" s="10">
        <v>2776.58</v>
      </c>
      <c r="J22" s="10">
        <v>5550.26</v>
      </c>
      <c r="K22" s="10"/>
      <c r="L22" s="10"/>
      <c r="M22" s="10"/>
      <c r="N22" s="10"/>
      <c r="O22" s="4"/>
      <c r="P22" s="43">
        <f>SUM(C22:N22)</f>
        <v>41631.230000000003</v>
      </c>
    </row>
    <row r="23" spans="2:16" x14ac:dyDescent="0.3">
      <c r="B23" s="9" t="s">
        <v>8</v>
      </c>
      <c r="C23" s="10">
        <f>1163.92+2371.07</f>
        <v>3534.9900000000002</v>
      </c>
      <c r="D23" s="10">
        <f>1163.92+2360.54</f>
        <v>3524.46</v>
      </c>
      <c r="E23" s="10">
        <f>1163.92+2360.54</f>
        <v>3524.46</v>
      </c>
      <c r="F23" s="10">
        <f>1163.92+2363.18</f>
        <v>3527.1</v>
      </c>
      <c r="G23" s="10">
        <f>1163.92+2360.55</f>
        <v>3524.4700000000003</v>
      </c>
      <c r="H23" s="10">
        <f>1164.71+2364.45</f>
        <v>3529.16</v>
      </c>
      <c r="I23" s="10">
        <f>619.32+1248.1</f>
        <v>1867.42</v>
      </c>
      <c r="J23" s="10">
        <f>1163.92+2364.51</f>
        <v>3528.4300000000003</v>
      </c>
      <c r="K23" s="10"/>
      <c r="L23" s="10"/>
      <c r="M23" s="10"/>
      <c r="N23" s="10"/>
      <c r="O23" s="4"/>
      <c r="P23" s="43">
        <f>SUM(C23:N23)</f>
        <v>26560.489999999998</v>
      </c>
    </row>
    <row r="24" spans="2:16" x14ac:dyDescent="0.3">
      <c r="B24" s="55" t="s">
        <v>40</v>
      </c>
      <c r="C24" s="10">
        <v>445.58</v>
      </c>
      <c r="D24" s="10">
        <v>414.16</v>
      </c>
      <c r="E24" s="10">
        <v>414.16</v>
      </c>
      <c r="F24" s="10">
        <v>429.87</v>
      </c>
      <c r="G24" s="10">
        <v>382.74</v>
      </c>
      <c r="H24" s="10">
        <v>335.62</v>
      </c>
      <c r="I24" s="10">
        <v>162.83000000000001</v>
      </c>
      <c r="J24" s="10">
        <v>235.62</v>
      </c>
      <c r="K24" s="10"/>
      <c r="L24" s="10"/>
      <c r="M24" s="10"/>
      <c r="N24" s="10"/>
      <c r="O24" s="4"/>
      <c r="P24" s="43">
        <f>SUM(C24:N24)</f>
        <v>2820.58</v>
      </c>
    </row>
    <row r="25" spans="2:16" x14ac:dyDescent="0.3">
      <c r="B25" s="55" t="s">
        <v>44</v>
      </c>
      <c r="C25" s="64"/>
      <c r="D25" s="64"/>
      <c r="E25" s="64"/>
      <c r="F25" s="64"/>
      <c r="G25" s="64"/>
      <c r="H25" s="64"/>
      <c r="I25" s="64"/>
      <c r="J25" s="64">
        <f>65.71</f>
        <v>65.709999999999994</v>
      </c>
      <c r="K25" s="64"/>
      <c r="L25" s="64"/>
      <c r="M25" s="64"/>
      <c r="N25" s="64"/>
      <c r="O25" s="4"/>
      <c r="P25" s="43">
        <f>SUM(C25:N25)</f>
        <v>65.709999999999994</v>
      </c>
    </row>
    <row r="26" spans="2:16" x14ac:dyDescent="0.3">
      <c r="B26" s="8" t="s">
        <v>3</v>
      </c>
      <c r="C26" s="44">
        <f t="shared" ref="C26:I26" si="2">SUM(C22:C24)</f>
        <v>9530.83</v>
      </c>
      <c r="D26" s="44">
        <f t="shared" si="2"/>
        <v>9488.880000000001</v>
      </c>
      <c r="E26" s="44">
        <f t="shared" si="2"/>
        <v>9488.880000000001</v>
      </c>
      <c r="F26" s="44">
        <f t="shared" si="2"/>
        <v>9507.2300000000014</v>
      </c>
      <c r="G26" s="44">
        <f t="shared" si="2"/>
        <v>9457.4699999999993</v>
      </c>
      <c r="H26" s="44">
        <f t="shared" si="2"/>
        <v>9417.8700000000008</v>
      </c>
      <c r="I26" s="44">
        <f t="shared" si="2"/>
        <v>4806.83</v>
      </c>
      <c r="J26" s="44">
        <f>SUM(J22:J25)</f>
        <v>9380.02</v>
      </c>
      <c r="K26" s="44">
        <f t="shared" ref="K26:N26" si="3">SUM(K22:K25)</f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0">
        <f>SUM(C26:N26)</f>
        <v>71078.010000000009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4">C19-C26</f>
        <v>1526.17</v>
      </c>
      <c r="D28" s="47">
        <f t="shared" si="4"/>
        <v>1587.3199999999997</v>
      </c>
      <c r="E28" s="47">
        <f t="shared" si="4"/>
        <v>556.11999999999898</v>
      </c>
      <c r="F28" s="47">
        <f t="shared" si="4"/>
        <v>1043.7699999999986</v>
      </c>
      <c r="G28" s="47">
        <f t="shared" si="4"/>
        <v>-424.46999999999935</v>
      </c>
      <c r="H28" s="47">
        <f t="shared" si="4"/>
        <v>-1902.8700000000008</v>
      </c>
      <c r="I28" s="47">
        <f t="shared" si="4"/>
        <v>-2857.83</v>
      </c>
      <c r="J28" s="47">
        <f t="shared" si="4"/>
        <v>-94.020000000000437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SUM(C28:O28)</f>
        <v>-565.81000000000313</v>
      </c>
    </row>
    <row r="30" spans="2:16" x14ac:dyDescent="0.3">
      <c r="B30" s="62" t="s">
        <v>37</v>
      </c>
      <c r="C30" s="54">
        <v>924</v>
      </c>
      <c r="D30" s="54">
        <v>840</v>
      </c>
      <c r="E30" s="54">
        <v>840</v>
      </c>
      <c r="F30" s="54">
        <v>882</v>
      </c>
      <c r="G30" s="54">
        <v>756</v>
      </c>
      <c r="H30" s="54">
        <v>630</v>
      </c>
      <c r="I30" s="54">
        <v>168</v>
      </c>
      <c r="J30" s="54">
        <v>798</v>
      </c>
      <c r="K30" s="54"/>
      <c r="L30" s="54"/>
      <c r="M30" s="54"/>
      <c r="N30" s="54"/>
      <c r="P30" s="61">
        <f>SUM(C30:N30)</f>
        <v>5838</v>
      </c>
    </row>
    <row r="31" spans="2:16" x14ac:dyDescent="0.3">
      <c r="B31" s="62" t="s">
        <v>38</v>
      </c>
      <c r="C31" s="54">
        <v>445.58</v>
      </c>
      <c r="D31" s="54">
        <v>414.16</v>
      </c>
      <c r="E31" s="54">
        <v>414.16</v>
      </c>
      <c r="F31" s="54">
        <v>429.87</v>
      </c>
      <c r="G31" s="54">
        <v>382.74</v>
      </c>
      <c r="H31" s="54">
        <v>335.62</v>
      </c>
      <c r="I31" s="54">
        <v>162.83000000000001</v>
      </c>
      <c r="J31" s="54">
        <v>235.62</v>
      </c>
      <c r="K31" s="54"/>
      <c r="L31" s="54"/>
      <c r="M31" s="54"/>
      <c r="N31" s="54"/>
      <c r="P31" s="61">
        <f>SUM(C31:N31)</f>
        <v>2820.58</v>
      </c>
    </row>
    <row r="33" spans="14:16" x14ac:dyDescent="0.3">
      <c r="N33" s="54" t="s">
        <v>42</v>
      </c>
      <c r="P33" s="61">
        <f>(P30*0.374) + 1457</f>
        <v>3640.4119999999998</v>
      </c>
    </row>
    <row r="34" spans="14:16" x14ac:dyDescent="0.3">
      <c r="N34" s="54" t="s">
        <v>43</v>
      </c>
      <c r="P34" s="61">
        <f>P33-P31</f>
        <v>819.83199999999988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'2024'!P27+'2025'!P28</f>
        <v>-1805.180000000003</v>
      </c>
    </row>
    <row r="4" spans="2:3" ht="16.95" customHeight="1" x14ac:dyDescent="0.3">
      <c r="B4" s="38" t="s">
        <v>39</v>
      </c>
      <c r="C4" s="40">
        <f>'2024'!P12+'2025'!P12</f>
        <v>30.5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2025-09-11T08:11:38Z</dcterms:modified>
</cp:coreProperties>
</file>