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zeeGen\Documents\01 - FOLIES SUCREES\"/>
    </mc:Choice>
  </mc:AlternateContent>
  <bookViews>
    <workbookView xWindow="0" yWindow="0" windowWidth="23040" windowHeight="8496"/>
  </bookViews>
  <sheets>
    <sheet name="CH008" sheetId="1" r:id="rId1"/>
    <sheet name="Etat des stocks" sheetId="2" r:id="rId2"/>
    <sheet name="Base de donnée articles" sheetId="3" r:id="rId3"/>
  </sheets>
  <externalReferences>
    <externalReference r:id="rId4"/>
    <externalReference r:id="rId5"/>
  </externalReferences>
  <definedNames>
    <definedName name="_xlnm._FilterDatabase" localSheetId="2" hidden="1">'Base de donnée articles'!$B$7:$C$7</definedName>
  </definedNames>
  <calcPr calcId="162913"/>
  <extLst>
    <ext uri="GoogleSheetsCustomDataVersion2">
      <go:sheetsCustomData xmlns:go="http://customooxmlschemas.google.com/" r:id="rId9" roundtripDataChecksum="y1DgSJMQgD4vdmgETVhOTKCAVWHU1XUOzu+vTlESvhU="/>
    </ext>
  </extLst>
</workbook>
</file>

<file path=xl/calcChain.xml><?xml version="1.0" encoding="utf-8"?>
<calcChain xmlns="http://schemas.openxmlformats.org/spreadsheetml/2006/main">
  <c r="E2390" i="1" l="1"/>
  <c r="E2389" i="1" l="1"/>
  <c r="E2382" i="1" l="1"/>
  <c r="E2379" i="1"/>
  <c r="E2380" i="1"/>
  <c r="E2381" i="1"/>
  <c r="E2383" i="1"/>
  <c r="E2384" i="1"/>
  <c r="E2385" i="1"/>
  <c r="E2386" i="1"/>
  <c r="E2387" i="1"/>
  <c r="E2388" i="1" l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2376" i="1" l="1"/>
  <c r="G2371" i="1" l="1"/>
  <c r="G2359" i="1"/>
  <c r="E2358" i="1" l="1"/>
  <c r="E2357" i="1"/>
  <c r="E2356" i="1"/>
  <c r="F2351" i="1"/>
  <c r="E2347" i="1"/>
  <c r="E2346" i="1"/>
  <c r="E2329" i="1" l="1"/>
  <c r="E2325" i="1"/>
  <c r="E2326" i="1"/>
  <c r="F2321" i="1"/>
  <c r="E2314" i="1" l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4" i="1"/>
  <c r="E2283" i="1"/>
  <c r="F2276" i="1" l="1"/>
  <c r="D73" i="2" l="1"/>
  <c r="B73" i="2"/>
  <c r="D72" i="2"/>
  <c r="B72" i="2"/>
  <c r="F2230" i="1" l="1"/>
  <c r="F2214" i="1" l="1"/>
  <c r="E2047" i="1" l="1"/>
  <c r="E2046" i="1"/>
  <c r="E2212" i="1"/>
  <c r="E2192" i="1" l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F2185" i="1" l="1"/>
  <c r="E2182" i="1" l="1"/>
  <c r="E2181" i="1"/>
  <c r="E2180" i="1"/>
  <c r="E2161" i="1" l="1"/>
  <c r="G2159" i="1"/>
  <c r="E2158" i="1"/>
  <c r="E2157" i="1"/>
  <c r="E2156" i="1"/>
  <c r="G2144" i="1" l="1"/>
  <c r="G2140" i="1"/>
  <c r="F2120" i="1"/>
  <c r="G2132" i="1"/>
  <c r="E2127" i="1" l="1"/>
  <c r="E2128" i="1"/>
  <c r="E2129" i="1"/>
  <c r="E2130" i="1"/>
  <c r="E2131" i="1"/>
  <c r="E2132" i="1"/>
  <c r="E2133" i="1"/>
  <c r="E2134" i="1"/>
  <c r="E2135" i="1"/>
  <c r="E2136" i="1"/>
  <c r="E2137" i="1"/>
  <c r="E2138" i="1"/>
  <c r="E2120" i="1" l="1"/>
  <c r="E2121" i="1"/>
  <c r="E2122" i="1"/>
  <c r="E2123" i="1"/>
  <c r="E2124" i="1"/>
  <c r="E2125" i="1"/>
  <c r="E2126" i="1"/>
  <c r="G2107" i="1" l="1"/>
  <c r="E2102" i="1" l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9" i="1"/>
  <c r="E2160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00" i="1"/>
  <c r="E2101" i="1"/>
  <c r="G2090" i="1" l="1"/>
  <c r="G2089" i="1"/>
  <c r="E2085" i="1"/>
  <c r="E2082" i="1" l="1"/>
  <c r="E2081" i="1"/>
  <c r="E2079" i="1"/>
  <c r="E2080" i="1"/>
  <c r="E2083" i="1"/>
  <c r="E2084" i="1"/>
  <c r="G2073" i="1" l="1"/>
  <c r="E2049" i="1" l="1"/>
  <c r="E2045" i="1" l="1"/>
  <c r="E2044" i="1"/>
  <c r="E2043" i="1"/>
  <c r="E2039" i="1"/>
  <c r="E2038" i="1"/>
  <c r="E2033" i="1" l="1"/>
  <c r="E2032" i="1"/>
  <c r="E2031" i="1"/>
  <c r="G2021" i="1" l="1"/>
  <c r="E2011" i="1" l="1"/>
  <c r="E2007" i="1"/>
  <c r="E2006" i="1"/>
  <c r="E2008" i="1"/>
  <c r="E2009" i="1"/>
  <c r="E2010" i="1"/>
  <c r="E2012" i="1"/>
  <c r="E2013" i="1"/>
  <c r="E2014" i="1"/>
  <c r="E2000" i="1" l="1"/>
  <c r="E2001" i="1"/>
  <c r="E2002" i="1"/>
  <c r="E2003" i="1"/>
  <c r="E2004" i="1"/>
  <c r="E2005" i="1"/>
  <c r="F2000" i="1"/>
  <c r="E1999" i="1" l="1"/>
  <c r="E1998" i="1"/>
  <c r="E1997" i="1"/>
  <c r="E1996" i="1"/>
  <c r="E1995" i="1"/>
  <c r="E1994" i="1"/>
  <c r="G1981" i="1" l="1"/>
  <c r="G1977" i="1"/>
  <c r="E1975" i="1"/>
  <c r="E1974" i="1"/>
  <c r="E1973" i="1" l="1"/>
  <c r="E1969" i="1"/>
  <c r="E1964" i="1"/>
  <c r="E1963" i="1"/>
  <c r="E1961" i="1"/>
  <c r="F1947" i="1" l="1"/>
  <c r="E1954" i="1"/>
  <c r="E1953" i="1"/>
  <c r="E1952" i="1"/>
  <c r="E1951" i="1"/>
  <c r="E1937" i="1" l="1"/>
  <c r="E1938" i="1"/>
  <c r="E1939" i="1"/>
  <c r="E1940" i="1"/>
  <c r="E1941" i="1"/>
  <c r="E1942" i="1"/>
  <c r="E1943" i="1"/>
  <c r="E1944" i="1"/>
  <c r="E1945" i="1"/>
  <c r="E1946" i="1"/>
  <c r="E1948" i="1"/>
  <c r="E1949" i="1"/>
  <c r="E1950" i="1"/>
  <c r="E1956" i="1"/>
  <c r="E1958" i="1"/>
  <c r="E1959" i="1"/>
  <c r="E1960" i="1"/>
  <c r="E1966" i="1"/>
  <c r="E1967" i="1"/>
  <c r="E1968" i="1"/>
  <c r="E1970" i="1"/>
  <c r="E1972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4" i="1"/>
  <c r="E2035" i="1"/>
  <c r="E2036" i="1"/>
  <c r="E2037" i="1"/>
  <c r="E2040" i="1"/>
  <c r="E2041" i="1"/>
  <c r="E2042" i="1"/>
  <c r="E2048" i="1"/>
  <c r="E2050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74" i="1"/>
  <c r="E2175" i="1"/>
  <c r="E2176" i="1"/>
  <c r="E2177" i="1"/>
  <c r="E2178" i="1"/>
  <c r="E2179" i="1"/>
  <c r="E2183" i="1"/>
  <c r="E2184" i="1"/>
  <c r="E2185" i="1"/>
  <c r="E2186" i="1"/>
  <c r="E2187" i="1"/>
  <c r="E2188" i="1"/>
  <c r="E2189" i="1"/>
  <c r="E2190" i="1"/>
  <c r="E2191" i="1"/>
  <c r="E2209" i="1"/>
  <c r="E2210" i="1"/>
  <c r="E2211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5" i="1"/>
  <c r="E2315" i="1"/>
  <c r="E2316" i="1"/>
  <c r="E2317" i="1"/>
  <c r="E2318" i="1"/>
  <c r="E2319" i="1"/>
  <c r="E2320" i="1"/>
  <c r="E2321" i="1"/>
  <c r="E2322" i="1"/>
  <c r="E2323" i="1"/>
  <c r="E2324" i="1"/>
  <c r="E2328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8" i="1"/>
  <c r="E2349" i="1"/>
  <c r="E2350" i="1"/>
  <c r="E2351" i="1"/>
  <c r="E2352" i="1"/>
  <c r="E2353" i="1"/>
  <c r="E2354" i="1"/>
  <c r="E2355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7" i="1"/>
  <c r="E2378" i="1"/>
  <c r="E3022" i="1"/>
  <c r="E3023" i="1"/>
  <c r="E3024" i="1"/>
  <c r="E3025" i="1"/>
  <c r="E1936" i="1"/>
  <c r="G72" i="2" l="1"/>
  <c r="G73" i="2"/>
  <c r="F73" i="2"/>
  <c r="F72" i="2"/>
  <c r="G9" i="2"/>
  <c r="G25" i="2"/>
  <c r="G57" i="2"/>
  <c r="F9" i="2"/>
  <c r="F25" i="2"/>
  <c r="F57" i="2"/>
  <c r="G60" i="2"/>
  <c r="F44" i="2"/>
  <c r="G29" i="2"/>
  <c r="F29" i="2"/>
  <c r="G14" i="2"/>
  <c r="F14" i="2"/>
  <c r="F62" i="2"/>
  <c r="F31" i="2"/>
  <c r="G32" i="2"/>
  <c r="F64" i="2"/>
  <c r="G65" i="2"/>
  <c r="F49" i="2"/>
  <c r="G34" i="2"/>
  <c r="F34" i="2"/>
  <c r="G67" i="2"/>
  <c r="F67" i="2"/>
  <c r="G52" i="2"/>
  <c r="F36" i="2"/>
  <c r="F21" i="2"/>
  <c r="G22" i="2"/>
  <c r="G70" i="2"/>
  <c r="F54" i="2"/>
  <c r="G71" i="2"/>
  <c r="F55" i="2"/>
  <c r="G56" i="2"/>
  <c r="F40" i="2"/>
  <c r="G10" i="2"/>
  <c r="G26" i="2"/>
  <c r="G58" i="2"/>
  <c r="F10" i="2"/>
  <c r="F26" i="2"/>
  <c r="F58" i="2"/>
  <c r="G12" i="2"/>
  <c r="G13" i="2"/>
  <c r="F13" i="2"/>
  <c r="F61" i="2"/>
  <c r="G46" i="2"/>
  <c r="G62" i="2"/>
  <c r="F46" i="2"/>
  <c r="G31" i="2"/>
  <c r="G63" i="2"/>
  <c r="F63" i="2"/>
  <c r="G64" i="2"/>
  <c r="F48" i="2"/>
  <c r="G49" i="2"/>
  <c r="F33" i="2"/>
  <c r="G18" i="2"/>
  <c r="G50" i="2"/>
  <c r="F18" i="2"/>
  <c r="F66" i="2"/>
  <c r="G51" i="2"/>
  <c r="F51" i="2"/>
  <c r="G36" i="2"/>
  <c r="F52" i="2"/>
  <c r="G21" i="2"/>
  <c r="G69" i="2"/>
  <c r="F69" i="2"/>
  <c r="F24" i="2"/>
  <c r="F8" i="2"/>
  <c r="G11" i="2"/>
  <c r="G27" i="2"/>
  <c r="F11" i="2"/>
  <c r="F27" i="2"/>
  <c r="F12" i="2"/>
  <c r="F60" i="2"/>
  <c r="G61" i="2"/>
  <c r="G30" i="2"/>
  <c r="F30" i="2"/>
  <c r="F47" i="2"/>
  <c r="G48" i="2"/>
  <c r="F32" i="2"/>
  <c r="G33" i="2"/>
  <c r="F17" i="2"/>
  <c r="F65" i="2"/>
  <c r="G66" i="2"/>
  <c r="F50" i="2"/>
  <c r="G35" i="2"/>
  <c r="F35" i="2"/>
  <c r="G68" i="2"/>
  <c r="F68" i="2"/>
  <c r="G53" i="2"/>
  <c r="F22" i="2"/>
  <c r="F70" i="2"/>
  <c r="F23" i="2"/>
  <c r="F71" i="2"/>
  <c r="F56" i="2"/>
  <c r="G1926" i="1"/>
  <c r="H73" i="2" l="1"/>
  <c r="H72" i="2"/>
  <c r="G1919" i="1"/>
  <c r="G1915" i="1"/>
  <c r="G1911" i="1"/>
  <c r="F1904" i="1"/>
  <c r="G1876" i="1" l="1"/>
  <c r="G1875" i="1"/>
  <c r="B71" i="2"/>
  <c r="D71" i="2"/>
  <c r="H71" i="2" l="1"/>
  <c r="G1842" i="1" l="1"/>
  <c r="G1836" i="1"/>
  <c r="G8" i="2" s="1"/>
  <c r="F1829" i="1" l="1"/>
  <c r="B70" i="2" l="1"/>
  <c r="D70" i="2"/>
  <c r="H70" i="2" l="1"/>
  <c r="G1785" i="1"/>
  <c r="G1780" i="1"/>
  <c r="G1779" i="1"/>
  <c r="G1766" i="1" l="1"/>
  <c r="G1763" i="1"/>
  <c r="G1760" i="1"/>
  <c r="G1750" i="1" l="1"/>
  <c r="G1744" i="1"/>
  <c r="G1745" i="1"/>
  <c r="G1743" i="1"/>
  <c r="G1742" i="1"/>
  <c r="G1719" i="1" l="1"/>
  <c r="G1683" i="1" l="1"/>
  <c r="G1684" i="1"/>
  <c r="B69" i="2" l="1"/>
  <c r="D69" i="2"/>
  <c r="H69" i="2" l="1"/>
  <c r="G1670" i="1" l="1"/>
  <c r="G1668" i="1"/>
  <c r="G1618" i="1" l="1"/>
  <c r="B68" i="2" l="1"/>
  <c r="D68" i="2"/>
  <c r="H68" i="2" l="1"/>
  <c r="G1622" i="1"/>
  <c r="G1621" i="1"/>
  <c r="G1619" i="1"/>
  <c r="G1614" i="1" l="1"/>
  <c r="G1608" i="1"/>
  <c r="G1607" i="1"/>
  <c r="G1606" i="1"/>
  <c r="G1577" i="1" l="1"/>
  <c r="G1573" i="1"/>
  <c r="G1572" i="1"/>
  <c r="G1552" i="1" l="1"/>
  <c r="G1534" i="1" l="1"/>
  <c r="G1529" i="1"/>
  <c r="G1499" i="1" l="1"/>
  <c r="G1495" i="1"/>
  <c r="G1441" i="1" l="1"/>
  <c r="F1356" i="1" l="1"/>
  <c r="G1385" i="1"/>
  <c r="G1401" i="1"/>
  <c r="B67" i="2" l="1"/>
  <c r="D67" i="2"/>
  <c r="H67" i="2" l="1"/>
  <c r="F1319" i="1"/>
  <c r="G1307" i="1" l="1"/>
  <c r="G1249" i="1" l="1"/>
  <c r="F1235" i="1" l="1"/>
  <c r="F37" i="2" s="1"/>
  <c r="F1189" i="1" l="1"/>
  <c r="F41" i="2" s="1"/>
  <c r="F1166" i="1" l="1"/>
  <c r="F19" i="2" s="1"/>
  <c r="F1167" i="1"/>
  <c r="F20" i="2" s="1"/>
  <c r="G1155" i="1" l="1"/>
  <c r="G1154" i="1"/>
  <c r="G1150" i="1"/>
  <c r="G1122" i="1" l="1"/>
  <c r="G1123" i="1"/>
  <c r="G1106" i="1" l="1"/>
  <c r="G1095" i="1"/>
  <c r="G1058" i="1" l="1"/>
  <c r="F1040" i="1"/>
  <c r="G1008" i="1" l="1"/>
  <c r="G1007" i="1"/>
  <c r="G1004" i="1"/>
  <c r="G1003" i="1"/>
  <c r="B66" i="2" l="1"/>
  <c r="D66" i="2"/>
  <c r="H66" i="2" l="1"/>
  <c r="F980" i="1"/>
  <c r="F45" i="2" s="1"/>
  <c r="G961" i="1" l="1"/>
  <c r="G946" i="1" l="1"/>
  <c r="B64" i="2" l="1"/>
  <c r="D64" i="2"/>
  <c r="B65" i="2"/>
  <c r="D65" i="2"/>
  <c r="H64" i="2" l="1"/>
  <c r="H65" i="2"/>
  <c r="F913" i="1"/>
  <c r="G903" i="1" l="1"/>
  <c r="G858" i="1" l="1"/>
  <c r="G857" i="1"/>
  <c r="D63" i="2" l="1"/>
  <c r="B63" i="2"/>
  <c r="D62" i="2"/>
  <c r="B62" i="2"/>
  <c r="D61" i="2"/>
  <c r="B61" i="2"/>
  <c r="D60" i="2"/>
  <c r="B60" i="2"/>
  <c r="D59" i="2"/>
  <c r="B59" i="2"/>
  <c r="D58" i="2"/>
  <c r="B58" i="2"/>
  <c r="D57" i="2"/>
  <c r="B57" i="2"/>
  <c r="D56" i="2"/>
  <c r="B56" i="2"/>
  <c r="D55" i="2"/>
  <c r="B55" i="2"/>
  <c r="D54" i="2"/>
  <c r="B54" i="2"/>
  <c r="D53" i="2"/>
  <c r="B53" i="2"/>
  <c r="D52" i="2"/>
  <c r="B52" i="2"/>
  <c r="D51" i="2"/>
  <c r="B51" i="2"/>
  <c r="D50" i="2"/>
  <c r="B50" i="2"/>
  <c r="D49" i="2"/>
  <c r="B49" i="2"/>
  <c r="D48" i="2"/>
  <c r="B48" i="2"/>
  <c r="D47" i="2"/>
  <c r="B47" i="2"/>
  <c r="D46" i="2"/>
  <c r="B46" i="2"/>
  <c r="D45" i="2"/>
  <c r="B45" i="2"/>
  <c r="D44" i="2"/>
  <c r="B44" i="2"/>
  <c r="D43" i="2"/>
  <c r="B43" i="2"/>
  <c r="D42" i="2"/>
  <c r="B42" i="2"/>
  <c r="D41" i="2"/>
  <c r="B41" i="2"/>
  <c r="D40" i="2"/>
  <c r="B40" i="2"/>
  <c r="D39" i="2"/>
  <c r="B39" i="2"/>
  <c r="D38" i="2"/>
  <c r="B38" i="2"/>
  <c r="D37" i="2"/>
  <c r="B37" i="2"/>
  <c r="D36" i="2"/>
  <c r="B36" i="2"/>
  <c r="D35" i="2"/>
  <c r="B35" i="2"/>
  <c r="D34" i="2"/>
  <c r="B34" i="2"/>
  <c r="D33" i="2"/>
  <c r="B33" i="2"/>
  <c r="D32" i="2"/>
  <c r="B32" i="2"/>
  <c r="D31" i="2"/>
  <c r="B31" i="2"/>
  <c r="D30" i="2"/>
  <c r="B30" i="2"/>
  <c r="D29" i="2"/>
  <c r="B29" i="2"/>
  <c r="D28" i="2"/>
  <c r="B28" i="2"/>
  <c r="D27" i="2"/>
  <c r="B27" i="2"/>
  <c r="D26" i="2"/>
  <c r="B26" i="2"/>
  <c r="D25" i="2"/>
  <c r="B25" i="2"/>
  <c r="D24" i="2"/>
  <c r="B24" i="2"/>
  <c r="D23" i="2"/>
  <c r="B23" i="2"/>
  <c r="D22" i="2"/>
  <c r="B22" i="2"/>
  <c r="D21" i="2"/>
  <c r="B21" i="2"/>
  <c r="D20" i="2"/>
  <c r="B20" i="2"/>
  <c r="D19" i="2"/>
  <c r="B19" i="2"/>
  <c r="D18" i="2"/>
  <c r="B18" i="2"/>
  <c r="D17" i="2"/>
  <c r="B17" i="2"/>
  <c r="D16" i="2"/>
  <c r="B16" i="2"/>
  <c r="D15" i="2"/>
  <c r="B15" i="2"/>
  <c r="D14" i="2"/>
  <c r="B14" i="2"/>
  <c r="D13" i="2"/>
  <c r="B13" i="2"/>
  <c r="D12" i="2"/>
  <c r="B12" i="2"/>
  <c r="D11" i="2"/>
  <c r="B11" i="2"/>
  <c r="D10" i="2"/>
  <c r="B10" i="2"/>
  <c r="D9" i="2"/>
  <c r="B9" i="2"/>
  <c r="D8" i="2"/>
  <c r="B8" i="2"/>
  <c r="G780" i="1"/>
  <c r="G751" i="1"/>
  <c r="G37" i="2" s="1"/>
  <c r="G747" i="1"/>
  <c r="G743" i="1"/>
  <c r="G741" i="1"/>
  <c r="G677" i="1"/>
  <c r="G670" i="1"/>
  <c r="G669" i="1"/>
  <c r="G651" i="1"/>
  <c r="G646" i="1"/>
  <c r="G645" i="1"/>
  <c r="G641" i="1"/>
  <c r="G625" i="1"/>
  <c r="G605" i="1"/>
  <c r="G602" i="1"/>
  <c r="G576" i="1"/>
  <c r="G559" i="1"/>
  <c r="G555" i="1"/>
  <c r="G554" i="1"/>
  <c r="G534" i="1"/>
  <c r="G533" i="1"/>
  <c r="G513" i="1"/>
  <c r="G512" i="1"/>
  <c r="G511" i="1"/>
  <c r="G510" i="1"/>
  <c r="F509" i="1"/>
  <c r="G476" i="1"/>
  <c r="G469" i="1"/>
  <c r="G467" i="1"/>
  <c r="F447" i="1"/>
  <c r="G442" i="1"/>
  <c r="G59" i="2" s="1"/>
  <c r="F413" i="1"/>
  <c r="F59" i="2" s="1"/>
  <c r="G384" i="1"/>
  <c r="G355" i="1"/>
  <c r="F333" i="1"/>
  <c r="F329" i="1"/>
  <c r="F38" i="2" s="1"/>
  <c r="G318" i="1"/>
  <c r="G317" i="1"/>
  <c r="G44" i="2" s="1"/>
  <c r="G316" i="1"/>
  <c r="G43" i="2" s="1"/>
  <c r="G315" i="1"/>
  <c r="G314" i="1"/>
  <c r="G313" i="1"/>
  <c r="G312" i="1"/>
  <c r="G311" i="1"/>
  <c r="G309" i="1"/>
  <c r="G308" i="1"/>
  <c r="G287" i="1"/>
  <c r="G286" i="1"/>
  <c r="G54" i="2" s="1"/>
  <c r="G284" i="1"/>
  <c r="G42" i="2" s="1"/>
  <c r="G283" i="1"/>
  <c r="G281" i="1"/>
  <c r="G278" i="1"/>
  <c r="F277" i="1"/>
  <c r="F261" i="1"/>
  <c r="F43" i="2" s="1"/>
  <c r="G259" i="1"/>
  <c r="G256" i="1"/>
  <c r="G251" i="1"/>
  <c r="G250" i="1"/>
  <c r="G239" i="1"/>
  <c r="G238" i="1"/>
  <c r="G40" i="2" s="1"/>
  <c r="G237" i="1"/>
  <c r="F234" i="1"/>
  <c r="F28" i="2" s="1"/>
  <c r="G229" i="1"/>
  <c r="G23" i="2" s="1"/>
  <c r="G226" i="1"/>
  <c r="G223" i="1"/>
  <c r="F220" i="1"/>
  <c r="F42" i="2" s="1"/>
  <c r="G219" i="1"/>
  <c r="F217" i="1"/>
  <c r="F39" i="2" s="1"/>
  <c r="G215" i="1"/>
  <c r="G47" i="2" s="1"/>
  <c r="G211" i="1"/>
  <c r="G209" i="1"/>
  <c r="G208" i="1"/>
  <c r="G201" i="1"/>
  <c r="G196" i="1"/>
  <c r="G194" i="1"/>
  <c r="G28" i="2" s="1"/>
  <c r="F188" i="1"/>
  <c r="G187" i="1"/>
  <c r="F105" i="1"/>
  <c r="F53" i="2" s="1"/>
  <c r="F16" i="2" l="1"/>
  <c r="G45" i="2"/>
  <c r="H45" i="2" s="1"/>
  <c r="G38" i="2"/>
  <c r="G15" i="2"/>
  <c r="G17" i="2"/>
  <c r="H17" i="2" s="1"/>
  <c r="G24" i="2"/>
  <c r="H24" i="2" s="1"/>
  <c r="G41" i="2"/>
  <c r="F15" i="2"/>
  <c r="G20" i="2"/>
  <c r="H20" i="2" s="1"/>
  <c r="G39" i="2"/>
  <c r="G55" i="2"/>
  <c r="H55" i="2" s="1"/>
  <c r="G16" i="2"/>
  <c r="G19" i="2"/>
  <c r="H19" i="2" s="1"/>
  <c r="H44" i="2"/>
  <c r="H35" i="2"/>
  <c r="H13" i="2"/>
  <c r="H58" i="2"/>
  <c r="H22" i="2"/>
  <c r="H26" i="2"/>
  <c r="H57" i="2"/>
  <c r="H25" i="2"/>
  <c r="H54" i="2"/>
  <c r="H60" i="2"/>
  <c r="H10" i="2"/>
  <c r="H27" i="2"/>
  <c r="H36" i="2"/>
  <c r="H23" i="2"/>
  <c r="H46" i="2"/>
  <c r="H52" i="2"/>
  <c r="H61" i="2"/>
  <c r="H11" i="2"/>
  <c r="H29" i="2"/>
  <c r="H8" i="2"/>
  <c r="H30" i="2"/>
  <c r="H62" i="2"/>
  <c r="H12" i="2"/>
  <c r="H21" i="2"/>
  <c r="H37" i="2"/>
  <c r="H56" i="2"/>
  <c r="H9" i="2"/>
  <c r="H18" i="2"/>
  <c r="H31" i="2"/>
  <c r="H50" i="2"/>
  <c r="H47" i="2"/>
  <c r="H63" i="2"/>
  <c r="H43" i="2" l="1"/>
  <c r="H48" i="2"/>
  <c r="H33" i="2"/>
  <c r="H51" i="2"/>
  <c r="H41" i="2"/>
  <c r="H40" i="2"/>
  <c r="H34" i="2"/>
  <c r="H16" i="2"/>
  <c r="H59" i="2"/>
  <c r="H28" i="2"/>
  <c r="H39" i="2"/>
  <c r="H15" i="2"/>
  <c r="H38" i="2"/>
  <c r="H42" i="2"/>
  <c r="H49" i="2"/>
  <c r="H53" i="2"/>
  <c r="H32" i="2"/>
  <c r="H14" i="2"/>
</calcChain>
</file>

<file path=xl/sharedStrings.xml><?xml version="1.0" encoding="utf-8"?>
<sst xmlns="http://schemas.openxmlformats.org/spreadsheetml/2006/main" count="9348" uniqueCount="200">
  <si>
    <t>Date</t>
  </si>
  <si>
    <t>ARTICLE</t>
  </si>
  <si>
    <t>Unité</t>
  </si>
  <si>
    <t>Ref</t>
  </si>
  <si>
    <t>Entrée</t>
  </si>
  <si>
    <t>Sortie</t>
  </si>
  <si>
    <t>Déstination</t>
  </si>
  <si>
    <t>Pate Waffle</t>
  </si>
  <si>
    <t>SEAU</t>
  </si>
  <si>
    <t>PAT004</t>
  </si>
  <si>
    <t>Cuisine</t>
  </si>
  <si>
    <t>Snickers</t>
  </si>
  <si>
    <t>PIECES</t>
  </si>
  <si>
    <t>CH005</t>
  </si>
  <si>
    <t>Rafaello</t>
  </si>
  <si>
    <t>CH008</t>
  </si>
  <si>
    <t>CHARGE GAZ</t>
  </si>
  <si>
    <t>GAZ</t>
  </si>
  <si>
    <t>Achete</t>
  </si>
  <si>
    <t>Banane</t>
  </si>
  <si>
    <t>KG</t>
  </si>
  <si>
    <t>FRT002</t>
  </si>
  <si>
    <t>KIWI</t>
  </si>
  <si>
    <t>FRT004</t>
  </si>
  <si>
    <t>CHEESE CAKE</t>
  </si>
  <si>
    <t>CH026</t>
  </si>
  <si>
    <t>Pistache Cancasser</t>
  </si>
  <si>
    <t>FRT101</t>
  </si>
  <si>
    <t>Pate Big Bubble</t>
  </si>
  <si>
    <t>PAT003</t>
  </si>
  <si>
    <t xml:space="preserve">Pate Crepe </t>
  </si>
  <si>
    <t>PAT002</t>
  </si>
  <si>
    <t>Dosset mayonnes</t>
  </si>
  <si>
    <t>CARTON</t>
  </si>
  <si>
    <t>MAY</t>
  </si>
  <si>
    <t>bubble tea</t>
  </si>
  <si>
    <t>CH027</t>
  </si>
  <si>
    <t>sauce pesto</t>
  </si>
  <si>
    <t>GAR013</t>
  </si>
  <si>
    <t>escalope pané</t>
  </si>
  <si>
    <t>GAR004</t>
  </si>
  <si>
    <t>escalope grillé</t>
  </si>
  <si>
    <t>GAR005</t>
  </si>
  <si>
    <t>Formage gruyère</t>
  </si>
  <si>
    <t>SAU011</t>
  </si>
  <si>
    <t>Ferero Rocher</t>
  </si>
  <si>
    <t>ch009</t>
  </si>
  <si>
    <t>Concombre</t>
  </si>
  <si>
    <t>FRT007</t>
  </si>
  <si>
    <t xml:space="preserve">Tomate </t>
  </si>
  <si>
    <t>FRT008</t>
  </si>
  <si>
    <t>Formage Mozzerella</t>
  </si>
  <si>
    <t>SAU010</t>
  </si>
  <si>
    <t>tiramiso</t>
  </si>
  <si>
    <t>CH024</t>
  </si>
  <si>
    <t>Kinder Bueno</t>
  </si>
  <si>
    <t>CH001</t>
  </si>
  <si>
    <t>Kinder T 4</t>
  </si>
  <si>
    <t>CH007</t>
  </si>
  <si>
    <t>CH009</t>
  </si>
  <si>
    <t>24/8/20224</t>
  </si>
  <si>
    <t>Chaplure</t>
  </si>
  <si>
    <t>CH070</t>
  </si>
  <si>
    <t>Amande</t>
  </si>
  <si>
    <t>FRT200</t>
  </si>
  <si>
    <t>Bouzayen</t>
  </si>
  <si>
    <t>oréo</t>
  </si>
  <si>
    <t>CH019</t>
  </si>
  <si>
    <t>chantilly</t>
  </si>
  <si>
    <t>CH025</t>
  </si>
  <si>
    <t>JAMBON FUME</t>
  </si>
  <si>
    <t>ROULOUX</t>
  </si>
  <si>
    <t>GAR014</t>
  </si>
  <si>
    <t>JAMBON Dinde</t>
  </si>
  <si>
    <t>GAR007</t>
  </si>
  <si>
    <t>PATE POFFER</t>
  </si>
  <si>
    <t>PAT009</t>
  </si>
  <si>
    <t>Formage Raclette</t>
  </si>
  <si>
    <t>SAU012</t>
  </si>
  <si>
    <t>NOISETTE</t>
  </si>
  <si>
    <t>Pepperoni</t>
  </si>
  <si>
    <t>GAR011</t>
  </si>
  <si>
    <t>FRT100</t>
  </si>
  <si>
    <t>Chocolat Blanc</t>
  </si>
  <si>
    <t>CH013</t>
  </si>
  <si>
    <t>Créme Fraiche 1l</t>
  </si>
  <si>
    <t>CH072</t>
  </si>
  <si>
    <t>Chocolat Noir</t>
  </si>
  <si>
    <t>CH014</t>
  </si>
  <si>
    <t>Depot</t>
  </si>
  <si>
    <t>Chocolat au Lait</t>
  </si>
  <si>
    <t>CH015</t>
  </si>
  <si>
    <t>CH055</t>
  </si>
  <si>
    <t xml:space="preserve">       Milka</t>
  </si>
  <si>
    <t>CH002</t>
  </si>
  <si>
    <t>oeufs</t>
  </si>
  <si>
    <t>FRT006</t>
  </si>
  <si>
    <t>CH071</t>
  </si>
  <si>
    <t>KITKAT</t>
  </si>
  <si>
    <t>CH011</t>
  </si>
  <si>
    <t>pat003</t>
  </si>
  <si>
    <t>Pate CHEESE CAKE</t>
  </si>
  <si>
    <t>PA011</t>
  </si>
  <si>
    <t>ch055</t>
  </si>
  <si>
    <t>sau011</t>
  </si>
  <si>
    <t>CHAPLURE</t>
  </si>
  <si>
    <t>M&amp;M</t>
  </si>
  <si>
    <t>CH003</t>
  </si>
  <si>
    <t>CITRON</t>
  </si>
  <si>
    <t>CIT</t>
  </si>
  <si>
    <t>Créme Fraiche 22cl</t>
  </si>
  <si>
    <t>CH073</t>
  </si>
  <si>
    <t>PACK</t>
  </si>
  <si>
    <t>BIDON</t>
  </si>
  <si>
    <t>kiwi</t>
  </si>
  <si>
    <t>KONEFA</t>
  </si>
  <si>
    <t>KON</t>
  </si>
  <si>
    <t>Dosset ketchup</t>
  </si>
  <si>
    <t>KET</t>
  </si>
  <si>
    <t>CITRON 5L</t>
  </si>
  <si>
    <t>houssem</t>
  </si>
  <si>
    <t>banane</t>
  </si>
  <si>
    <t>mokhito</t>
  </si>
  <si>
    <t>MOK</t>
  </si>
  <si>
    <t>pat002</t>
  </si>
  <si>
    <t>waffle</t>
  </si>
  <si>
    <t>Créme LIqude 1l</t>
  </si>
  <si>
    <t>KitKat</t>
  </si>
  <si>
    <t>Lait</t>
  </si>
  <si>
    <t>PAT007</t>
  </si>
  <si>
    <t>2312/2024</t>
  </si>
  <si>
    <t xml:space="preserve">Orange </t>
  </si>
  <si>
    <t>ORG</t>
  </si>
  <si>
    <t>LAIT</t>
  </si>
  <si>
    <t>FRAISE</t>
  </si>
  <si>
    <t>FRT003</t>
  </si>
  <si>
    <t>ZITOUN</t>
  </si>
  <si>
    <t>ÉTAT DES STOCKS</t>
  </si>
  <si>
    <t>Article Au Dessus de la Cuisine</t>
  </si>
  <si>
    <t>UNITE</t>
  </si>
  <si>
    <t>Stock initial</t>
  </si>
  <si>
    <t>Entrées</t>
  </si>
  <si>
    <t>Sorties</t>
  </si>
  <si>
    <t>Stock Final</t>
  </si>
  <si>
    <t>Navigation</t>
  </si>
  <si>
    <t>&gt; Ajouter des entrées ou des sorties</t>
  </si>
  <si>
    <t>&gt; Accéder à la base de données articles</t>
  </si>
  <si>
    <t>BASE DE DONNÉES ARTICLES</t>
  </si>
  <si>
    <t>&gt; Vérifier l'état des stocks</t>
  </si>
  <si>
    <t>Pate Poffer</t>
  </si>
  <si>
    <t>Fraise</t>
  </si>
  <si>
    <t>Cacahouéte</t>
  </si>
  <si>
    <t>FRT103</t>
  </si>
  <si>
    <t>cappuchino</t>
  </si>
  <si>
    <t>Escalop crespy</t>
  </si>
  <si>
    <t>GAR010</t>
  </si>
  <si>
    <t>Formage Rappé TACOS</t>
  </si>
  <si>
    <t>SAU100</t>
  </si>
  <si>
    <t>SODA Délico</t>
  </si>
  <si>
    <t>BOI011</t>
  </si>
  <si>
    <t>Présentoire</t>
  </si>
  <si>
    <t>pat009</t>
  </si>
  <si>
    <t>Sachet Pobelle</t>
  </si>
  <si>
    <t>NET004</t>
  </si>
  <si>
    <t>nuggets</t>
  </si>
  <si>
    <t>NUG</t>
  </si>
  <si>
    <t>SACHET</t>
  </si>
  <si>
    <t>Bounty</t>
  </si>
  <si>
    <t>CH004</t>
  </si>
  <si>
    <t>sau012</t>
  </si>
  <si>
    <t>sau010</t>
  </si>
  <si>
    <t>BOUZAYEN</t>
  </si>
  <si>
    <t>Sac Frite Tacos</t>
  </si>
  <si>
    <t>EMB005</t>
  </si>
  <si>
    <t>ch005</t>
  </si>
  <si>
    <t>Fromage présédent</t>
  </si>
  <si>
    <t>fro</t>
  </si>
  <si>
    <t>LAN</t>
  </si>
  <si>
    <t>LANDOR FROMAGE</t>
  </si>
  <si>
    <t>Dépôt</t>
  </si>
  <si>
    <t>gar011</t>
  </si>
  <si>
    <t xml:space="preserve">Pate pistache </t>
  </si>
  <si>
    <t>PAT008</t>
  </si>
  <si>
    <t>FARINE</t>
  </si>
  <si>
    <t>FAR</t>
  </si>
  <si>
    <t>lait</t>
  </si>
  <si>
    <t>sa</t>
  </si>
  <si>
    <t>SEL</t>
  </si>
  <si>
    <t>Créme Liqude 20cl</t>
  </si>
  <si>
    <t xml:space="preserve">Créme Liqude 20cl </t>
  </si>
  <si>
    <t>escalope</t>
  </si>
  <si>
    <t>kg</t>
  </si>
  <si>
    <t>glace fraise</t>
  </si>
  <si>
    <t>sirop</t>
  </si>
  <si>
    <t>m&amp;m</t>
  </si>
  <si>
    <t>viande haché</t>
  </si>
  <si>
    <t>VD01</t>
  </si>
  <si>
    <t>SEEA</t>
  </si>
  <si>
    <t>sachet pobelle</t>
  </si>
  <si>
    <t>milka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</si>
</sst>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rgb="FF00B4C2"/>
      <name val="Calibri"/>
      <family val="2"/>
    </font>
    <font>
      <b/>
      <sz val="12"/>
      <color theme="1"/>
      <name val="Calibri"/>
      <family val="2"/>
    </font>
    <font>
      <u/>
      <sz val="11"/>
      <color rgb="FF00B4C2"/>
      <name val="Calibri"/>
      <family val="2"/>
    </font>
    <font>
      <sz val="11"/>
      <name val="Calibri"/>
      <family val="2"/>
    </font>
    <font>
      <u/>
      <sz val="12"/>
      <color theme="1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0"/>
      <name val="Calibri"/>
      <family val="2"/>
    </font>
    <font>
      <u/>
      <sz val="11"/>
      <color theme="1"/>
      <name val="Calibri"/>
      <family val="2"/>
    </font>
    <font>
      <u/>
      <sz val="11"/>
      <color rgb="FF00B4C2"/>
      <name val="Calibri"/>
      <family val="2"/>
    </font>
    <font>
      <u/>
      <sz val="11"/>
      <color rgb="FF00B4C2"/>
      <name val="Calibri"/>
      <family val="2"/>
    </font>
    <font>
      <u/>
      <sz val="11"/>
      <color rgb="FF00B4C2"/>
      <name val="Calibri"/>
      <family val="2"/>
    </font>
    <font>
      <u/>
      <sz val="12"/>
      <color theme="10"/>
      <name val="Calibri"/>
      <family val="2"/>
    </font>
    <font>
      <u/>
      <sz val="11"/>
      <color rgb="FF00B4C2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2" borderId="1" xfId="0" applyFont="1" applyFill="1" applyBorder="1"/>
    <xf numFmtId="0" fontId="3" fillId="2" borderId="5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6" borderId="3" xfId="0" applyFont="1" applyFill="1" applyBorder="1"/>
    <xf numFmtId="0" fontId="5" fillId="3" borderId="1" xfId="0" applyFont="1" applyFill="1" applyBorder="1"/>
    <xf numFmtId="0" fontId="5" fillId="0" borderId="10" xfId="0" applyFon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5" fillId="0" borderId="3" xfId="0" applyNumberFormat="1" applyFont="1" applyBorder="1"/>
    <xf numFmtId="0" fontId="5" fillId="0" borderId="3" xfId="0" applyFont="1" applyBorder="1"/>
    <xf numFmtId="0" fontId="5" fillId="2" borderId="3" xfId="0" applyFont="1" applyFill="1" applyBorder="1"/>
    <xf numFmtId="0" fontId="5" fillId="0" borderId="10" xfId="0" applyFont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164" fontId="12" fillId="0" borderId="18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center"/>
    </xf>
    <xf numFmtId="164" fontId="12" fillId="0" borderId="21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5" fillId="2" borderId="3" xfId="0" applyNumberFormat="1" applyFont="1" applyFill="1" applyBorder="1"/>
    <xf numFmtId="164" fontId="14" fillId="0" borderId="3" xfId="0" applyNumberFormat="1" applyFont="1" applyBorder="1"/>
    <xf numFmtId="0" fontId="12" fillId="6" borderId="4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12" fillId="6" borderId="3" xfId="0" applyNumberFormat="1" applyFont="1" applyFill="1" applyBorder="1" applyAlignment="1">
      <alignment horizontal="center"/>
    </xf>
    <xf numFmtId="0" fontId="12" fillId="6" borderId="1" xfId="0" applyFont="1" applyFill="1" applyBorder="1"/>
    <xf numFmtId="0" fontId="12" fillId="6" borderId="4" xfId="0" applyFont="1" applyFill="1" applyBorder="1"/>
    <xf numFmtId="164" fontId="5" fillId="2" borderId="3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6" borderId="3" xfId="0" applyNumberFormat="1" applyFont="1" applyFill="1" applyBorder="1" applyAlignment="1"/>
    <xf numFmtId="0" fontId="5" fillId="6" borderId="3" xfId="0" applyFont="1" applyFill="1" applyBorder="1" applyAlignment="1"/>
    <xf numFmtId="164" fontId="5" fillId="2" borderId="1" xfId="0" applyNumberFormat="1" applyFont="1" applyFill="1" applyBorder="1"/>
    <xf numFmtId="0" fontId="4" fillId="3" borderId="5" xfId="0" applyFont="1" applyFill="1" applyBorder="1"/>
    <xf numFmtId="0" fontId="4" fillId="3" borderId="24" xfId="0" applyFont="1" applyFill="1" applyBorder="1"/>
    <xf numFmtId="0" fontId="4" fillId="3" borderId="6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1" xfId="0" applyFont="1" applyFill="1" applyBorder="1"/>
    <xf numFmtId="0" fontId="5" fillId="2" borderId="8" xfId="0" applyFont="1" applyFill="1" applyBorder="1"/>
    <xf numFmtId="0" fontId="3" fillId="2" borderId="9" xfId="0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0" fontId="18" fillId="2" borderId="9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3" fillId="2" borderId="5" xfId="0" applyFont="1" applyFill="1" applyBorder="1"/>
    <xf numFmtId="0" fontId="3" fillId="2" borderId="8" xfId="0" applyFont="1" applyFill="1" applyBorder="1" applyAlignment="1">
      <alignment horizontal="left"/>
    </xf>
    <xf numFmtId="0" fontId="8" fillId="2" borderId="1" xfId="0" applyFont="1" applyFill="1" applyBorder="1"/>
    <xf numFmtId="0" fontId="5" fillId="2" borderId="9" xfId="0" applyFont="1" applyFill="1" applyBorder="1"/>
    <xf numFmtId="0" fontId="3" fillId="2" borderId="8" xfId="0" applyFont="1" applyFill="1" applyBorder="1"/>
    <xf numFmtId="0" fontId="20" fillId="2" borderId="8" xfId="0" applyFont="1" applyFill="1" applyBorder="1" applyAlignment="1">
      <alignment horizontal="left"/>
    </xf>
    <xf numFmtId="0" fontId="4" fillId="3" borderId="3" xfId="0" applyFont="1" applyFill="1" applyBorder="1"/>
    <xf numFmtId="0" fontId="5" fillId="6" borderId="3" xfId="0" applyFont="1" applyFill="1" applyBorder="1" applyAlignment="1"/>
    <xf numFmtId="14" fontId="5" fillId="2" borderId="3" xfId="0" applyNumberFormat="1" applyFont="1" applyFill="1" applyBorder="1" applyAlignment="1">
      <alignment horizontal="center"/>
    </xf>
    <xf numFmtId="0" fontId="22" fillId="6" borderId="3" xfId="0" applyFont="1" applyFill="1" applyBorder="1" applyAlignment="1">
      <alignment horizontal="center" vertical="center"/>
    </xf>
    <xf numFmtId="0" fontId="22" fillId="6" borderId="3" xfId="0" applyFont="1" applyFill="1" applyBorder="1" applyAlignment="1"/>
    <xf numFmtId="0" fontId="5" fillId="2" borderId="14" xfId="0" applyFont="1" applyFill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164" fontId="22" fillId="0" borderId="18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5" fillId="2" borderId="14" xfId="0" applyFont="1" applyFill="1" applyBorder="1"/>
    <xf numFmtId="14" fontId="5" fillId="2" borderId="1" xfId="0" applyNumberFormat="1" applyFont="1" applyFill="1" applyBorder="1"/>
    <xf numFmtId="164" fontId="22" fillId="0" borderId="20" xfId="0" applyNumberFormat="1" applyFont="1" applyBorder="1" applyAlignment="1">
      <alignment horizontal="center"/>
    </xf>
    <xf numFmtId="164" fontId="22" fillId="0" borderId="21" xfId="0" applyNumberFormat="1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6" borderId="3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/>
    </xf>
    <xf numFmtId="0" fontId="23" fillId="6" borderId="3" xfId="0" applyFont="1" applyFill="1" applyBorder="1" applyAlignment="1"/>
    <xf numFmtId="0" fontId="24" fillId="6" borderId="3" xfId="0" applyFont="1" applyFill="1" applyBorder="1" applyAlignment="1"/>
    <xf numFmtId="0" fontId="24" fillId="6" borderId="3" xfId="0" applyFont="1" applyFill="1" applyBorder="1" applyAlignment="1">
      <alignment horizontal="center"/>
    </xf>
    <xf numFmtId="14" fontId="24" fillId="6" borderId="3" xfId="0" applyNumberFormat="1" applyFont="1" applyFill="1" applyBorder="1" applyAlignment="1"/>
    <xf numFmtId="0" fontId="22" fillId="6" borderId="18" xfId="0" applyFont="1" applyFill="1" applyBorder="1" applyAlignment="1"/>
    <xf numFmtId="14" fontId="24" fillId="6" borderId="20" xfId="0" applyNumberFormat="1" applyFont="1" applyFill="1" applyBorder="1" applyAlignment="1"/>
    <xf numFmtId="0" fontId="22" fillId="6" borderId="21" xfId="0" applyFont="1" applyFill="1" applyBorder="1" applyAlignment="1"/>
    <xf numFmtId="0" fontId="25" fillId="6" borderId="3" xfId="0" applyFont="1" applyFill="1" applyBorder="1" applyAlignment="1"/>
    <xf numFmtId="0" fontId="26" fillId="5" borderId="10" xfId="0" applyFont="1" applyFill="1" applyBorder="1" applyAlignment="1">
      <alignment horizontal="center"/>
    </xf>
    <xf numFmtId="0" fontId="26" fillId="2" borderId="14" xfId="0" applyFont="1" applyFill="1" applyBorder="1"/>
    <xf numFmtId="0" fontId="27" fillId="6" borderId="3" xfId="0" applyFont="1" applyFill="1" applyBorder="1" applyAlignment="1"/>
    <xf numFmtId="0" fontId="27" fillId="6" borderId="3" xfId="0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28" fillId="0" borderId="10" xfId="0" applyFont="1" applyBorder="1" applyAlignment="1">
      <alignment horizontal="center"/>
    </xf>
    <xf numFmtId="0" fontId="28" fillId="2" borderId="14" xfId="0" applyFont="1" applyFill="1" applyBorder="1"/>
    <xf numFmtId="0" fontId="27" fillId="6" borderId="3" xfId="0" applyFont="1" applyFill="1" applyBorder="1" applyAlignment="1">
      <alignment horizontal="center" vertical="center"/>
    </xf>
    <xf numFmtId="0" fontId="29" fillId="6" borderId="3" xfId="0" applyFont="1" applyFill="1" applyBorder="1" applyAlignment="1"/>
    <xf numFmtId="164" fontId="5" fillId="7" borderId="3" xfId="0" applyNumberFormat="1" applyFont="1" applyFill="1" applyBorder="1"/>
    <xf numFmtId="0" fontId="29" fillId="6" borderId="24" xfId="0" applyFont="1" applyFill="1" applyBorder="1" applyAlignment="1"/>
    <xf numFmtId="164" fontId="5" fillId="0" borderId="24" xfId="0" applyNumberFormat="1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0" fontId="5" fillId="2" borderId="26" xfId="0" applyFont="1" applyFill="1" applyBorder="1"/>
    <xf numFmtId="0" fontId="0" fillId="0" borderId="26" xfId="0" applyFont="1" applyBorder="1" applyAlignment="1"/>
    <xf numFmtId="14" fontId="0" fillId="0" borderId="26" xfId="0" applyNumberFormat="1" applyFont="1" applyBorder="1" applyAlignment="1"/>
    <xf numFmtId="164" fontId="22" fillId="0" borderId="26" xfId="0" applyNumberFormat="1" applyFont="1" applyBorder="1" applyAlignment="1">
      <alignment horizontal="center"/>
    </xf>
    <xf numFmtId="164" fontId="22" fillId="0" borderId="27" xfId="0" applyNumberFormat="1" applyFont="1" applyBorder="1" applyAlignment="1">
      <alignment horizontal="center"/>
    </xf>
    <xf numFmtId="0" fontId="2" fillId="0" borderId="26" xfId="0" applyFont="1" applyBorder="1" applyAlignment="1"/>
    <xf numFmtId="2" fontId="5" fillId="0" borderId="3" xfId="0" applyNumberFormat="1" applyFont="1" applyBorder="1" applyAlignment="1">
      <alignment horizontal="center"/>
    </xf>
    <xf numFmtId="0" fontId="3" fillId="8" borderId="1" xfId="0" applyFont="1" applyFill="1" applyBorder="1"/>
    <xf numFmtId="0" fontId="0" fillId="0" borderId="14" xfId="0" applyFont="1" applyBorder="1" applyAlignment="1"/>
    <xf numFmtId="0" fontId="5" fillId="2" borderId="27" xfId="0" applyFont="1" applyFill="1" applyBorder="1"/>
    <xf numFmtId="0" fontId="0" fillId="0" borderId="26" xfId="0" applyFont="1" applyFill="1" applyBorder="1" applyAlignment="1"/>
    <xf numFmtId="0" fontId="9" fillId="2" borderId="11" xfId="0" applyFont="1" applyFill="1" applyBorder="1" applyAlignment="1">
      <alignment horizontal="center"/>
    </xf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5" fillId="3" borderId="22" xfId="0" applyFont="1" applyFill="1" applyBorder="1" applyAlignment="1">
      <alignment horizontal="center"/>
    </xf>
    <xf numFmtId="0" fontId="10" fillId="0" borderId="23" xfId="0" applyFont="1" applyBorder="1"/>
    <xf numFmtId="0" fontId="10" fillId="0" borderId="18" xfId="0" applyFont="1" applyBorder="1"/>
    <xf numFmtId="0" fontId="19" fillId="2" borderId="11" xfId="0" applyFont="1" applyFill="1" applyBorder="1" applyAlignment="1">
      <alignment horizontal="left" readingOrder="1"/>
    </xf>
    <xf numFmtId="0" fontId="21" fillId="2" borderId="11" xfId="0" applyFont="1" applyFill="1" applyBorder="1" applyAlignment="1">
      <alignment horizontal="left"/>
    </xf>
    <xf numFmtId="0" fontId="1" fillId="0" borderId="26" xfId="0" applyFont="1" applyBorder="1" applyAlignment="1"/>
  </cellXfs>
  <cellStyles count="1">
    <cellStyle name="Normal" xfId="0" builtinId="0"/>
  </cellStyles>
  <dxfs count="965"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8</xdr:row>
      <xdr:rowOff>0</xdr:rowOff>
    </xdr:from>
    <xdr:ext cx="3590925" cy="542925"/>
    <xdr:sp macro="" textlink="">
      <xdr:nvSpPr>
        <xdr:cNvPr id="3" name="Shape 3"/>
        <xdr:cNvSpPr txBox="1"/>
      </xdr:nvSpPr>
      <xdr:spPr>
        <a:xfrm>
          <a:off x="3555300" y="3508538"/>
          <a:ext cx="3581400" cy="5429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%20-%20FOLIES%20SUCREES\13%20-%20GESTION%20STOCK\Suivi-Stock%20cuisi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%20-%20FOLIES%20SUCREES\13%20-%20GESTION%20STOCK\Suivi-Stock%20-de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entrées et sorties"/>
      <sheetName val="Etat des stocks"/>
      <sheetName val="Base de donnée article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Etat des stocks"/>
      <sheetName val="Base de donnée artic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36"/>
  <sheetViews>
    <sheetView tabSelected="1" topLeftCell="A2377" workbookViewId="0">
      <selection activeCell="H2397" sqref="H2397"/>
    </sheetView>
  </sheetViews>
  <sheetFormatPr baseColWidth="10" defaultColWidth="14.44140625" defaultRowHeight="15" customHeight="1" x14ac:dyDescent="0.3"/>
  <cols>
    <col min="1" max="2" width="11.44140625" customWidth="1"/>
    <col min="3" max="3" width="22.6640625" customWidth="1"/>
    <col min="4" max="4" width="10.33203125" bestFit="1" customWidth="1"/>
    <col min="5" max="7" width="11.44140625" customWidth="1"/>
    <col min="8" max="8" width="10.5546875" customWidth="1"/>
    <col min="9" max="10" width="11.44140625" customWidth="1"/>
    <col min="11" max="11" width="4" customWidth="1"/>
    <col min="12" max="26" width="11.44140625" customWidth="1"/>
  </cols>
  <sheetData>
    <row r="1" spans="1:26" ht="14.25" customHeight="1" x14ac:dyDescent="0.3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4" t="s">
        <v>5</v>
      </c>
      <c r="H1" s="4" t="s">
        <v>6</v>
      </c>
      <c r="I1" s="1"/>
      <c r="J1" s="1"/>
      <c r="K1" s="5"/>
      <c r="L1" s="6"/>
      <c r="M1" s="6"/>
      <c r="N1" s="6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8"/>
      <c r="B2" s="9">
        <v>45521</v>
      </c>
      <c r="C2" s="9" t="s">
        <v>7</v>
      </c>
      <c r="D2" s="10" t="s">
        <v>8</v>
      </c>
      <c r="E2" s="11" t="s">
        <v>9</v>
      </c>
      <c r="F2" s="11"/>
      <c r="G2" s="11">
        <v>1</v>
      </c>
      <c r="H2" s="10" t="s">
        <v>10</v>
      </c>
      <c r="I2" s="8"/>
      <c r="J2" s="8"/>
      <c r="K2" s="12"/>
      <c r="L2" s="1"/>
      <c r="M2" s="1"/>
      <c r="N2" s="1"/>
      <c r="O2" s="13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25" customHeight="1" x14ac:dyDescent="0.3">
      <c r="A3" s="8"/>
      <c r="B3" s="9">
        <v>45521</v>
      </c>
      <c r="C3" s="14" t="s">
        <v>11</v>
      </c>
      <c r="D3" s="9" t="s">
        <v>12</v>
      </c>
      <c r="E3" s="11" t="s">
        <v>13</v>
      </c>
      <c r="F3" s="11"/>
      <c r="G3" s="11">
        <v>24</v>
      </c>
      <c r="H3" s="10" t="s">
        <v>10</v>
      </c>
      <c r="I3" s="8"/>
      <c r="J3" s="8"/>
      <c r="K3" s="15"/>
      <c r="L3" s="16"/>
      <c r="M3" s="16"/>
      <c r="N3" s="16"/>
      <c r="O3" s="17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4.25" customHeight="1" x14ac:dyDescent="0.3">
      <c r="A4" s="8"/>
      <c r="B4" s="9">
        <v>45521</v>
      </c>
      <c r="C4" s="18" t="s">
        <v>14</v>
      </c>
      <c r="D4" s="9" t="s">
        <v>12</v>
      </c>
      <c r="E4" s="11" t="s">
        <v>15</v>
      </c>
      <c r="F4" s="11"/>
      <c r="G4" s="11">
        <v>13</v>
      </c>
      <c r="H4" s="10" t="s">
        <v>10</v>
      </c>
      <c r="I4" s="8"/>
      <c r="J4" s="8"/>
      <c r="K4" s="15"/>
      <c r="L4" s="16"/>
      <c r="M4" s="16"/>
      <c r="N4" s="16"/>
      <c r="O4" s="17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4.25" customHeight="1" x14ac:dyDescent="0.3">
      <c r="A5" s="8"/>
      <c r="B5" s="9">
        <v>45521</v>
      </c>
      <c r="C5" s="18" t="s">
        <v>16</v>
      </c>
      <c r="D5" s="9" t="s">
        <v>12</v>
      </c>
      <c r="E5" s="11" t="s">
        <v>17</v>
      </c>
      <c r="F5" s="11">
        <v>2</v>
      </c>
      <c r="G5" s="11"/>
      <c r="H5" s="10" t="s">
        <v>18</v>
      </c>
      <c r="I5" s="8"/>
      <c r="J5" s="8"/>
      <c r="K5" s="15"/>
      <c r="L5" s="16"/>
      <c r="M5" s="16"/>
      <c r="N5" s="16"/>
      <c r="O5" s="17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25" customHeight="1" x14ac:dyDescent="0.3">
      <c r="A6" s="8"/>
      <c r="B6" s="9">
        <v>45521</v>
      </c>
      <c r="C6" s="14" t="s">
        <v>19</v>
      </c>
      <c r="D6" s="9" t="s">
        <v>20</v>
      </c>
      <c r="E6" s="11" t="s">
        <v>21</v>
      </c>
      <c r="F6" s="11">
        <v>8</v>
      </c>
      <c r="G6" s="11"/>
      <c r="H6" s="10" t="s">
        <v>18</v>
      </c>
      <c r="I6" s="8"/>
      <c r="J6" s="8"/>
      <c r="K6" s="15"/>
      <c r="L6" s="16"/>
      <c r="M6" s="16"/>
      <c r="N6" s="16"/>
      <c r="O6" s="17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25" customHeight="1" x14ac:dyDescent="0.3">
      <c r="A7" s="8"/>
      <c r="B7" s="9">
        <v>45521</v>
      </c>
      <c r="C7" s="14" t="s">
        <v>22</v>
      </c>
      <c r="D7" s="9" t="s">
        <v>12</v>
      </c>
      <c r="E7" s="11" t="s">
        <v>23</v>
      </c>
      <c r="F7" s="11">
        <v>20</v>
      </c>
      <c r="G7" s="11"/>
      <c r="H7" s="10" t="s">
        <v>18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25" customHeight="1" x14ac:dyDescent="0.3">
      <c r="A8" s="8"/>
      <c r="B8" s="9">
        <v>45521</v>
      </c>
      <c r="C8" s="18" t="s">
        <v>24</v>
      </c>
      <c r="D8" s="9" t="s">
        <v>12</v>
      </c>
      <c r="E8" s="11" t="s">
        <v>25</v>
      </c>
      <c r="F8" s="11">
        <v>20</v>
      </c>
      <c r="G8" s="11"/>
      <c r="H8" s="10" t="s">
        <v>18</v>
      </c>
      <c r="I8" s="8"/>
      <c r="J8" s="8"/>
      <c r="K8" s="19"/>
      <c r="L8" s="6"/>
      <c r="M8" s="6"/>
      <c r="N8" s="6"/>
      <c r="O8" s="7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25" customHeight="1" x14ac:dyDescent="0.3">
      <c r="A9" s="8"/>
      <c r="B9" s="9">
        <v>45521</v>
      </c>
      <c r="C9" s="20" t="s">
        <v>26</v>
      </c>
      <c r="D9" s="9" t="s">
        <v>20</v>
      </c>
      <c r="E9" s="11" t="s">
        <v>27</v>
      </c>
      <c r="F9" s="11">
        <v>2</v>
      </c>
      <c r="G9" s="11"/>
      <c r="H9" s="10" t="s">
        <v>18</v>
      </c>
      <c r="I9" s="8"/>
      <c r="J9" s="8"/>
      <c r="K9" s="12"/>
      <c r="L9" s="21"/>
      <c r="M9" s="8"/>
      <c r="N9" s="8"/>
      <c r="O9" s="22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3">
      <c r="A10" s="8"/>
      <c r="B10" s="9">
        <v>45523</v>
      </c>
      <c r="C10" s="9" t="s">
        <v>7</v>
      </c>
      <c r="D10" s="10" t="s">
        <v>8</v>
      </c>
      <c r="E10" s="11" t="s">
        <v>9</v>
      </c>
      <c r="F10" s="11">
        <v>2</v>
      </c>
      <c r="G10" s="11"/>
      <c r="H10" s="10" t="s">
        <v>18</v>
      </c>
      <c r="I10" s="8"/>
      <c r="J10" s="8"/>
      <c r="K10" s="12"/>
      <c r="L10" s="135"/>
      <c r="M10" s="136"/>
      <c r="N10" s="136"/>
      <c r="O10" s="137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customHeight="1" x14ac:dyDescent="0.3">
      <c r="A11" s="8"/>
      <c r="B11" s="9">
        <v>45523</v>
      </c>
      <c r="C11" s="9" t="s">
        <v>28</v>
      </c>
      <c r="D11" s="9" t="s">
        <v>8</v>
      </c>
      <c r="E11" s="11" t="s">
        <v>29</v>
      </c>
      <c r="F11" s="11">
        <v>2</v>
      </c>
      <c r="G11" s="11"/>
      <c r="H11" s="10" t="s">
        <v>18</v>
      </c>
      <c r="I11" s="8"/>
      <c r="J11" s="8"/>
      <c r="K11" s="12"/>
      <c r="L11" s="8"/>
      <c r="M11" s="8"/>
      <c r="N11" s="8"/>
      <c r="O11" s="22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4.25" customHeight="1" x14ac:dyDescent="0.3">
      <c r="A12" s="8"/>
      <c r="B12" s="9">
        <v>45523</v>
      </c>
      <c r="C12" s="9" t="s">
        <v>30</v>
      </c>
      <c r="D12" s="9" t="s">
        <v>8</v>
      </c>
      <c r="E12" s="11" t="s">
        <v>31</v>
      </c>
      <c r="F12" s="11">
        <v>1</v>
      </c>
      <c r="G12" s="11"/>
      <c r="H12" s="10" t="s">
        <v>18</v>
      </c>
      <c r="I12" s="8"/>
      <c r="J12" s="8"/>
      <c r="K12" s="12"/>
      <c r="L12" s="21"/>
      <c r="M12" s="8"/>
      <c r="N12" s="8"/>
      <c r="O12" s="22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25" customHeight="1" x14ac:dyDescent="0.3">
      <c r="A13" s="8"/>
      <c r="B13" s="9">
        <v>45523</v>
      </c>
      <c r="C13" s="18" t="s">
        <v>24</v>
      </c>
      <c r="D13" s="9" t="s">
        <v>12</v>
      </c>
      <c r="E13" s="11" t="s">
        <v>25</v>
      </c>
      <c r="F13" s="11">
        <v>20</v>
      </c>
      <c r="G13" s="11"/>
      <c r="H13" s="10" t="s">
        <v>18</v>
      </c>
      <c r="I13" s="8"/>
      <c r="J13" s="8"/>
      <c r="K13" s="23"/>
      <c r="L13" s="135"/>
      <c r="M13" s="136"/>
      <c r="N13" s="138"/>
      <c r="O13" s="22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25" customHeight="1" x14ac:dyDescent="0.3">
      <c r="A14" s="8"/>
      <c r="B14" s="9">
        <v>45523</v>
      </c>
      <c r="C14" s="24" t="s">
        <v>32</v>
      </c>
      <c r="D14" s="25" t="s">
        <v>33</v>
      </c>
      <c r="E14" s="11" t="s">
        <v>34</v>
      </c>
      <c r="F14" s="11">
        <v>1</v>
      </c>
      <c r="G14" s="11"/>
      <c r="H14" s="10" t="s">
        <v>18</v>
      </c>
      <c r="I14" s="8"/>
      <c r="J14" s="8"/>
      <c r="K14" s="23"/>
      <c r="L14" s="135"/>
      <c r="M14" s="136"/>
      <c r="N14" s="138"/>
      <c r="O14" s="22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25" customHeight="1" x14ac:dyDescent="0.3">
      <c r="A15" s="8"/>
      <c r="B15" s="9">
        <v>45523</v>
      </c>
      <c r="C15" s="26" t="s">
        <v>35</v>
      </c>
      <c r="D15" s="9" t="s">
        <v>8</v>
      </c>
      <c r="E15" s="11" t="s">
        <v>36</v>
      </c>
      <c r="F15" s="11">
        <v>1</v>
      </c>
      <c r="G15" s="11"/>
      <c r="H15" s="10" t="s">
        <v>18</v>
      </c>
      <c r="I15" s="8"/>
      <c r="J15" s="8"/>
      <c r="K15" s="27"/>
      <c r="L15" s="28"/>
      <c r="M15" s="28"/>
      <c r="N15" s="28"/>
      <c r="O15" s="2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25" customHeight="1" x14ac:dyDescent="0.3">
      <c r="A16" s="8"/>
      <c r="B16" s="9">
        <v>45523</v>
      </c>
      <c r="C16" s="14" t="s">
        <v>19</v>
      </c>
      <c r="D16" s="9" t="s">
        <v>20</v>
      </c>
      <c r="E16" s="11" t="s">
        <v>21</v>
      </c>
      <c r="F16" s="11">
        <v>5.7</v>
      </c>
      <c r="G16" s="11"/>
      <c r="H16" s="10" t="s">
        <v>18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25" customHeight="1" x14ac:dyDescent="0.3">
      <c r="A17" s="8"/>
      <c r="B17" s="9">
        <v>45523</v>
      </c>
      <c r="C17" s="26" t="s">
        <v>37</v>
      </c>
      <c r="D17" s="9" t="s">
        <v>8</v>
      </c>
      <c r="E17" s="11" t="s">
        <v>38</v>
      </c>
      <c r="F17" s="11">
        <v>2</v>
      </c>
      <c r="G17" s="11"/>
      <c r="H17" s="10" t="s">
        <v>18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.25" customHeight="1" x14ac:dyDescent="0.3">
      <c r="A18" s="8"/>
      <c r="B18" s="9">
        <v>45523</v>
      </c>
      <c r="C18" s="9" t="s">
        <v>39</v>
      </c>
      <c r="D18" s="9" t="s">
        <v>20</v>
      </c>
      <c r="E18" s="11" t="s">
        <v>40</v>
      </c>
      <c r="F18" s="11">
        <v>5</v>
      </c>
      <c r="G18" s="11"/>
      <c r="H18" s="10" t="s">
        <v>18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.25" customHeight="1" x14ac:dyDescent="0.3">
      <c r="A19" s="8"/>
      <c r="B19" s="9">
        <v>45523</v>
      </c>
      <c r="C19" s="9" t="s">
        <v>41</v>
      </c>
      <c r="D19" s="9" t="s">
        <v>20</v>
      </c>
      <c r="E19" s="11" t="s">
        <v>42</v>
      </c>
      <c r="F19" s="11">
        <v>5</v>
      </c>
      <c r="G19" s="11"/>
      <c r="H19" s="10" t="s">
        <v>18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25" customHeight="1" x14ac:dyDescent="0.3">
      <c r="A20" s="8"/>
      <c r="B20" s="9">
        <v>45523</v>
      </c>
      <c r="C20" s="9" t="s">
        <v>43</v>
      </c>
      <c r="D20" s="9" t="s">
        <v>20</v>
      </c>
      <c r="E20" s="11" t="s">
        <v>44</v>
      </c>
      <c r="F20" s="11"/>
      <c r="G20" s="11">
        <v>2.25</v>
      </c>
      <c r="H20" s="10" t="s">
        <v>10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4.25" customHeight="1" x14ac:dyDescent="0.3">
      <c r="A21" s="8"/>
      <c r="B21" s="9">
        <v>45523</v>
      </c>
      <c r="C21" s="18" t="s">
        <v>45</v>
      </c>
      <c r="D21" s="9" t="s">
        <v>12</v>
      </c>
      <c r="E21" s="11" t="s">
        <v>46</v>
      </c>
      <c r="F21" s="11"/>
      <c r="G21" s="11"/>
      <c r="H21" s="10" t="s">
        <v>10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4.25" customHeight="1" x14ac:dyDescent="0.3">
      <c r="A22" s="8"/>
      <c r="B22" s="9">
        <v>45523</v>
      </c>
      <c r="C22" s="9" t="s">
        <v>39</v>
      </c>
      <c r="D22" s="9" t="s">
        <v>20</v>
      </c>
      <c r="E22" s="11" t="s">
        <v>40</v>
      </c>
      <c r="F22" s="11"/>
      <c r="G22" s="11">
        <v>1.5</v>
      </c>
      <c r="H22" s="10" t="s">
        <v>10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4.25" customHeight="1" x14ac:dyDescent="0.3">
      <c r="A23" s="8"/>
      <c r="B23" s="9">
        <v>45523</v>
      </c>
      <c r="C23" s="9" t="s">
        <v>41</v>
      </c>
      <c r="D23" s="9" t="s">
        <v>20</v>
      </c>
      <c r="E23" s="11" t="s">
        <v>42</v>
      </c>
      <c r="F23" s="11"/>
      <c r="G23" s="11">
        <v>5</v>
      </c>
      <c r="H23" s="10" t="s">
        <v>10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4.25" customHeight="1" x14ac:dyDescent="0.3">
      <c r="A24" s="8"/>
      <c r="B24" s="9">
        <v>45524</v>
      </c>
      <c r="C24" s="9" t="s">
        <v>28</v>
      </c>
      <c r="D24" s="9" t="s">
        <v>8</v>
      </c>
      <c r="E24" s="11" t="s">
        <v>29</v>
      </c>
      <c r="F24" s="11">
        <v>2</v>
      </c>
      <c r="G24" s="11"/>
      <c r="H24" s="10" t="s">
        <v>18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4.25" customHeight="1" x14ac:dyDescent="0.3">
      <c r="A25" s="8"/>
      <c r="B25" s="9">
        <v>45524</v>
      </c>
      <c r="C25" s="9" t="s">
        <v>7</v>
      </c>
      <c r="D25" s="9" t="s">
        <v>8</v>
      </c>
      <c r="E25" s="11" t="s">
        <v>9</v>
      </c>
      <c r="F25" s="11">
        <v>2</v>
      </c>
      <c r="G25" s="11"/>
      <c r="H25" s="10" t="s">
        <v>18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4.25" customHeight="1" x14ac:dyDescent="0.3">
      <c r="A26" s="8"/>
      <c r="B26" s="9">
        <v>45524</v>
      </c>
      <c r="C26" s="9" t="s">
        <v>30</v>
      </c>
      <c r="D26" s="9" t="s">
        <v>8</v>
      </c>
      <c r="E26" s="11" t="s">
        <v>31</v>
      </c>
      <c r="F26" s="11">
        <v>2</v>
      </c>
      <c r="G26" s="11"/>
      <c r="H26" s="10" t="s">
        <v>18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4.25" customHeight="1" x14ac:dyDescent="0.3">
      <c r="A27" s="8"/>
      <c r="B27" s="9">
        <v>45524</v>
      </c>
      <c r="C27" s="9" t="s">
        <v>22</v>
      </c>
      <c r="D27" s="9" t="s">
        <v>12</v>
      </c>
      <c r="E27" s="11" t="s">
        <v>23</v>
      </c>
      <c r="F27" s="11">
        <v>20</v>
      </c>
      <c r="G27" s="11"/>
      <c r="H27" s="10" t="s">
        <v>18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4.25" customHeight="1" x14ac:dyDescent="0.3">
      <c r="A28" s="8"/>
      <c r="B28" s="9">
        <v>45524</v>
      </c>
      <c r="C28" s="18" t="s">
        <v>19</v>
      </c>
      <c r="D28" s="9" t="s">
        <v>20</v>
      </c>
      <c r="E28" s="11" t="s">
        <v>21</v>
      </c>
      <c r="F28" s="11">
        <v>7.3</v>
      </c>
      <c r="G28" s="11"/>
      <c r="H28" s="10" t="s">
        <v>18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4.25" customHeight="1" x14ac:dyDescent="0.3">
      <c r="A29" s="8"/>
      <c r="B29" s="9">
        <v>45524</v>
      </c>
      <c r="C29" s="9" t="s">
        <v>47</v>
      </c>
      <c r="D29" s="9" t="s">
        <v>20</v>
      </c>
      <c r="E29" s="11" t="s">
        <v>48</v>
      </c>
      <c r="F29" s="11">
        <v>1</v>
      </c>
      <c r="G29" s="11"/>
      <c r="H29" s="10" t="s">
        <v>18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4.25" customHeight="1" x14ac:dyDescent="0.3">
      <c r="A30" s="8"/>
      <c r="B30" s="9">
        <v>45524</v>
      </c>
      <c r="C30" s="9" t="s">
        <v>49</v>
      </c>
      <c r="D30" s="9" t="s">
        <v>20</v>
      </c>
      <c r="E30" s="11" t="s">
        <v>50</v>
      </c>
      <c r="F30" s="11">
        <v>1</v>
      </c>
      <c r="G30" s="11"/>
      <c r="H30" s="10" t="s">
        <v>18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4.25" customHeight="1" x14ac:dyDescent="0.3">
      <c r="A31" s="8"/>
      <c r="B31" s="9">
        <v>45525</v>
      </c>
      <c r="C31" s="9" t="s">
        <v>7</v>
      </c>
      <c r="D31" s="9" t="s">
        <v>8</v>
      </c>
      <c r="E31" s="11" t="s">
        <v>9</v>
      </c>
      <c r="F31" s="11"/>
      <c r="G31" s="11">
        <v>1</v>
      </c>
      <c r="H31" s="10" t="s">
        <v>10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4.25" customHeight="1" x14ac:dyDescent="0.3">
      <c r="A32" s="8"/>
      <c r="B32" s="9">
        <v>45525</v>
      </c>
      <c r="C32" s="9" t="s">
        <v>28</v>
      </c>
      <c r="D32" s="9" t="s">
        <v>8</v>
      </c>
      <c r="E32" s="11" t="s">
        <v>29</v>
      </c>
      <c r="F32" s="11"/>
      <c r="G32" s="11">
        <v>1</v>
      </c>
      <c r="H32" s="10" t="s">
        <v>10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4.25" customHeight="1" x14ac:dyDescent="0.3">
      <c r="A33" s="8"/>
      <c r="B33" s="9">
        <v>45526</v>
      </c>
      <c r="C33" s="9" t="s">
        <v>35</v>
      </c>
      <c r="D33" s="9" t="s">
        <v>8</v>
      </c>
      <c r="E33" s="11" t="s">
        <v>36</v>
      </c>
      <c r="F33" s="11">
        <v>3</v>
      </c>
      <c r="G33" s="11"/>
      <c r="H33" s="10" t="s">
        <v>18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4.25" customHeight="1" x14ac:dyDescent="0.3">
      <c r="A34" s="8"/>
      <c r="B34" s="9">
        <v>45526</v>
      </c>
      <c r="C34" s="30" t="s">
        <v>51</v>
      </c>
      <c r="D34" s="9" t="s">
        <v>20</v>
      </c>
      <c r="E34" s="11" t="s">
        <v>52</v>
      </c>
      <c r="F34" s="11">
        <v>15</v>
      </c>
      <c r="G34" s="11"/>
      <c r="H34" s="10" t="s">
        <v>18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4.25" customHeight="1" x14ac:dyDescent="0.3">
      <c r="A35" s="8"/>
      <c r="B35" s="9">
        <v>45526</v>
      </c>
      <c r="C35" s="31" t="s">
        <v>7</v>
      </c>
      <c r="D35" s="32" t="s">
        <v>8</v>
      </c>
      <c r="E35" s="32" t="s">
        <v>9</v>
      </c>
      <c r="F35" s="11">
        <v>2</v>
      </c>
      <c r="G35" s="11"/>
      <c r="H35" s="10" t="s">
        <v>18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4.25" customHeight="1" x14ac:dyDescent="0.3">
      <c r="A36" s="8"/>
      <c r="B36" s="9">
        <v>45526</v>
      </c>
      <c r="C36" s="30" t="s">
        <v>53</v>
      </c>
      <c r="D36" s="9" t="s">
        <v>12</v>
      </c>
      <c r="E36" s="11" t="s">
        <v>54</v>
      </c>
      <c r="F36" s="11">
        <v>24</v>
      </c>
      <c r="G36" s="11"/>
      <c r="H36" s="10" t="s">
        <v>18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4.25" customHeight="1" x14ac:dyDescent="0.3">
      <c r="A37" s="8"/>
      <c r="B37" s="9">
        <v>45526</v>
      </c>
      <c r="C37" s="14" t="s">
        <v>55</v>
      </c>
      <c r="D37" s="9" t="s">
        <v>12</v>
      </c>
      <c r="E37" s="11" t="s">
        <v>56</v>
      </c>
      <c r="F37" s="11"/>
      <c r="G37" s="11">
        <v>60</v>
      </c>
      <c r="H37" s="10" t="s">
        <v>10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4.25" customHeight="1" x14ac:dyDescent="0.3">
      <c r="A38" s="8"/>
      <c r="B38" s="9">
        <v>45526</v>
      </c>
      <c r="C38" s="14" t="s">
        <v>57</v>
      </c>
      <c r="D38" s="9" t="s">
        <v>12</v>
      </c>
      <c r="E38" s="11" t="s">
        <v>58</v>
      </c>
      <c r="F38" s="11"/>
      <c r="G38" s="11">
        <v>80</v>
      </c>
      <c r="H38" s="10" t="s">
        <v>10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4.25" customHeight="1" x14ac:dyDescent="0.3">
      <c r="A39" s="8"/>
      <c r="B39" s="9">
        <v>45526</v>
      </c>
      <c r="C39" s="33" t="s">
        <v>45</v>
      </c>
      <c r="D39" s="9" t="s">
        <v>12</v>
      </c>
      <c r="E39" s="11" t="s">
        <v>59</v>
      </c>
      <c r="F39" s="11"/>
      <c r="G39" s="11">
        <v>80</v>
      </c>
      <c r="H39" s="10" t="s">
        <v>10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4.25" customHeight="1" x14ac:dyDescent="0.3">
      <c r="A40" s="8"/>
      <c r="B40" s="9" t="s">
        <v>60</v>
      </c>
      <c r="C40" s="30" t="s">
        <v>39</v>
      </c>
      <c r="D40" s="9" t="s">
        <v>20</v>
      </c>
      <c r="E40" s="11" t="s">
        <v>40</v>
      </c>
      <c r="F40" s="11">
        <v>2.8</v>
      </c>
      <c r="G40" s="11"/>
      <c r="H40" s="10" t="s">
        <v>18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4.25" customHeight="1" x14ac:dyDescent="0.3">
      <c r="A41" s="8"/>
      <c r="B41" s="9">
        <v>45528</v>
      </c>
      <c r="C41" s="30" t="s">
        <v>41</v>
      </c>
      <c r="D41" s="9" t="s">
        <v>20</v>
      </c>
      <c r="E41" s="11" t="s">
        <v>42</v>
      </c>
      <c r="F41" s="11">
        <v>3</v>
      </c>
      <c r="G41" s="11"/>
      <c r="H41" s="10" t="s">
        <v>18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4.25" customHeight="1" x14ac:dyDescent="0.3">
      <c r="A42" s="8"/>
      <c r="B42" s="9">
        <v>45528</v>
      </c>
      <c r="C42" s="14" t="s">
        <v>61</v>
      </c>
      <c r="D42" s="9" t="s">
        <v>20</v>
      </c>
      <c r="E42" s="11" t="s">
        <v>62</v>
      </c>
      <c r="F42" s="11">
        <v>5</v>
      </c>
      <c r="G42" s="11"/>
      <c r="H42" s="10" t="s">
        <v>18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4.25" customHeight="1" x14ac:dyDescent="0.3">
      <c r="A43" s="8"/>
      <c r="B43" s="9">
        <v>45528</v>
      </c>
      <c r="C43" s="30" t="s">
        <v>19</v>
      </c>
      <c r="D43" s="25" t="s">
        <v>33</v>
      </c>
      <c r="E43" s="11" t="s">
        <v>21</v>
      </c>
      <c r="F43" s="11">
        <v>1</v>
      </c>
      <c r="G43" s="11"/>
      <c r="H43" s="10" t="s">
        <v>18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4.25" customHeight="1" x14ac:dyDescent="0.3">
      <c r="A44" s="8"/>
      <c r="B44" s="9">
        <v>45528</v>
      </c>
      <c r="C44" s="30" t="s">
        <v>28</v>
      </c>
      <c r="D44" s="9" t="s">
        <v>8</v>
      </c>
      <c r="E44" s="11" t="s">
        <v>29</v>
      </c>
      <c r="F44" s="11">
        <v>2</v>
      </c>
      <c r="G44" s="11"/>
      <c r="H44" s="10" t="s">
        <v>18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4.25" customHeight="1" x14ac:dyDescent="0.3">
      <c r="A45" s="8"/>
      <c r="B45" s="9">
        <v>45528</v>
      </c>
      <c r="C45" s="30" t="s">
        <v>7</v>
      </c>
      <c r="D45" s="9" t="s">
        <v>8</v>
      </c>
      <c r="E45" s="11" t="s">
        <v>9</v>
      </c>
      <c r="F45" s="11">
        <v>2</v>
      </c>
      <c r="G45" s="11"/>
      <c r="H45" s="10" t="s">
        <v>18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4.25" customHeight="1" x14ac:dyDescent="0.3">
      <c r="A46" s="8"/>
      <c r="B46" s="9">
        <v>45528</v>
      </c>
      <c r="C46" s="30" t="s">
        <v>30</v>
      </c>
      <c r="D46" s="9" t="s">
        <v>8</v>
      </c>
      <c r="E46" s="11" t="s">
        <v>31</v>
      </c>
      <c r="F46" s="11">
        <v>3</v>
      </c>
      <c r="G46" s="11"/>
      <c r="H46" s="10" t="s">
        <v>18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4.25" customHeight="1" x14ac:dyDescent="0.3">
      <c r="A47" s="8"/>
      <c r="B47" s="34">
        <v>45528</v>
      </c>
      <c r="C47" s="33" t="s">
        <v>63</v>
      </c>
      <c r="D47" s="9" t="s">
        <v>20</v>
      </c>
      <c r="E47" s="11" t="s">
        <v>64</v>
      </c>
      <c r="F47" s="11">
        <v>2</v>
      </c>
      <c r="G47" s="11"/>
      <c r="H47" s="10" t="s">
        <v>18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4.25" customHeight="1" x14ac:dyDescent="0.3">
      <c r="A48" s="8"/>
      <c r="B48" s="34">
        <v>45528</v>
      </c>
      <c r="C48" s="14" t="s">
        <v>55</v>
      </c>
      <c r="D48" s="9" t="s">
        <v>12</v>
      </c>
      <c r="E48" s="11" t="s">
        <v>56</v>
      </c>
      <c r="F48" s="35"/>
      <c r="G48" s="11">
        <v>1</v>
      </c>
      <c r="H48" s="36" t="s">
        <v>65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4.25" customHeight="1" x14ac:dyDescent="0.3">
      <c r="A49" s="8"/>
      <c r="B49" s="34">
        <v>45528</v>
      </c>
      <c r="C49" s="37" t="s">
        <v>51</v>
      </c>
      <c r="D49" s="9" t="s">
        <v>20</v>
      </c>
      <c r="E49" s="11" t="s">
        <v>52</v>
      </c>
      <c r="F49" s="35"/>
      <c r="G49" s="11">
        <v>1</v>
      </c>
      <c r="H49" s="36" t="s">
        <v>10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4.25" customHeight="1" x14ac:dyDescent="0.3">
      <c r="A50" s="8"/>
      <c r="B50" s="34">
        <v>45528</v>
      </c>
      <c r="C50" s="33" t="s">
        <v>66</v>
      </c>
      <c r="D50" s="9" t="s">
        <v>20</v>
      </c>
      <c r="E50" s="11" t="s">
        <v>67</v>
      </c>
      <c r="F50" s="11"/>
      <c r="G50" s="11">
        <v>1</v>
      </c>
      <c r="H50" s="10" t="s">
        <v>10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4.25" customHeight="1" x14ac:dyDescent="0.3">
      <c r="A51" s="8"/>
      <c r="B51" s="34">
        <v>45528</v>
      </c>
      <c r="C51" s="14" t="s">
        <v>43</v>
      </c>
      <c r="D51" s="9" t="s">
        <v>20</v>
      </c>
      <c r="E51" s="11" t="s">
        <v>44</v>
      </c>
      <c r="F51" s="11"/>
      <c r="G51" s="11">
        <v>1.6</v>
      </c>
      <c r="H51" s="10" t="s">
        <v>10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4.25" customHeight="1" x14ac:dyDescent="0.3">
      <c r="A52" s="8"/>
      <c r="B52" s="34">
        <v>45528</v>
      </c>
      <c r="C52" s="30" t="s">
        <v>28</v>
      </c>
      <c r="D52" s="9" t="s">
        <v>8</v>
      </c>
      <c r="E52" s="11" t="s">
        <v>29</v>
      </c>
      <c r="F52" s="11"/>
      <c r="G52" s="11">
        <v>1</v>
      </c>
      <c r="H52" s="10" t="s">
        <v>10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4.25" customHeight="1" x14ac:dyDescent="0.3">
      <c r="A53" s="8"/>
      <c r="B53" s="34">
        <v>45528</v>
      </c>
      <c r="C53" s="9" t="s">
        <v>7</v>
      </c>
      <c r="D53" s="9" t="s">
        <v>8</v>
      </c>
      <c r="E53" s="11" t="s">
        <v>9</v>
      </c>
      <c r="F53" s="11"/>
      <c r="G53" s="11">
        <v>1</v>
      </c>
      <c r="H53" s="10" t="s">
        <v>10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4.25" customHeight="1" x14ac:dyDescent="0.3">
      <c r="A54" s="8"/>
      <c r="B54" s="9">
        <v>45529</v>
      </c>
      <c r="C54" s="9" t="s">
        <v>68</v>
      </c>
      <c r="D54" s="9" t="s">
        <v>12</v>
      </c>
      <c r="E54" s="11" t="s">
        <v>69</v>
      </c>
      <c r="F54" s="11">
        <v>1</v>
      </c>
      <c r="G54" s="11"/>
      <c r="H54" s="10" t="s">
        <v>18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4.25" customHeight="1" x14ac:dyDescent="0.3">
      <c r="A55" s="8"/>
      <c r="B55" s="9">
        <v>45529</v>
      </c>
      <c r="C55" s="9" t="s">
        <v>37</v>
      </c>
      <c r="D55" s="9" t="s">
        <v>20</v>
      </c>
      <c r="E55" s="11" t="s">
        <v>38</v>
      </c>
      <c r="F55" s="11">
        <v>2</v>
      </c>
      <c r="G55" s="11"/>
      <c r="H55" s="10" t="s">
        <v>18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4.25" customHeight="1" x14ac:dyDescent="0.3">
      <c r="A56" s="8"/>
      <c r="B56" s="9">
        <v>45529</v>
      </c>
      <c r="C56" s="9" t="s">
        <v>70</v>
      </c>
      <c r="D56" s="9" t="s">
        <v>71</v>
      </c>
      <c r="E56" s="11" t="s">
        <v>72</v>
      </c>
      <c r="F56" s="11">
        <v>5</v>
      </c>
      <c r="G56" s="11"/>
      <c r="H56" s="10" t="s">
        <v>18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4.25" customHeight="1" x14ac:dyDescent="0.3">
      <c r="A57" s="8"/>
      <c r="B57" s="9">
        <v>45529</v>
      </c>
      <c r="C57" s="9" t="s">
        <v>73</v>
      </c>
      <c r="D57" s="9" t="s">
        <v>71</v>
      </c>
      <c r="E57" s="11" t="s">
        <v>74</v>
      </c>
      <c r="F57" s="11">
        <v>3</v>
      </c>
      <c r="G57" s="11"/>
      <c r="H57" s="10" t="s">
        <v>18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4.25" customHeight="1" x14ac:dyDescent="0.3">
      <c r="A58" s="8"/>
      <c r="B58" s="9">
        <v>45530</v>
      </c>
      <c r="C58" s="9" t="s">
        <v>30</v>
      </c>
      <c r="D58" s="9" t="s">
        <v>8</v>
      </c>
      <c r="E58" s="11" t="s">
        <v>31</v>
      </c>
      <c r="F58" s="11"/>
      <c r="G58" s="11">
        <v>5</v>
      </c>
      <c r="H58" s="10" t="s">
        <v>10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4.25" customHeight="1" x14ac:dyDescent="0.3">
      <c r="A59" s="8"/>
      <c r="B59" s="9">
        <v>45530</v>
      </c>
      <c r="C59" s="9" t="s">
        <v>7</v>
      </c>
      <c r="D59" s="9" t="s">
        <v>8</v>
      </c>
      <c r="E59" s="11" t="s">
        <v>9</v>
      </c>
      <c r="F59" s="11"/>
      <c r="G59" s="11">
        <v>4</v>
      </c>
      <c r="H59" s="10" t="s">
        <v>10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4.25" customHeight="1" x14ac:dyDescent="0.3">
      <c r="A60" s="8"/>
      <c r="B60" s="9">
        <v>45530</v>
      </c>
      <c r="C60" s="9" t="s">
        <v>28</v>
      </c>
      <c r="D60" s="9" t="s">
        <v>8</v>
      </c>
      <c r="E60" s="11" t="s">
        <v>29</v>
      </c>
      <c r="F60" s="11"/>
      <c r="G60" s="11">
        <v>8</v>
      </c>
      <c r="H60" s="10" t="s">
        <v>10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4.25" customHeight="1" x14ac:dyDescent="0.3">
      <c r="A61" s="8"/>
      <c r="B61" s="9">
        <v>45530</v>
      </c>
      <c r="C61" s="9" t="s">
        <v>75</v>
      </c>
      <c r="D61" s="9" t="s">
        <v>8</v>
      </c>
      <c r="E61" s="11" t="s">
        <v>76</v>
      </c>
      <c r="F61" s="11"/>
      <c r="G61" s="11">
        <v>1</v>
      </c>
      <c r="H61" s="10" t="s">
        <v>10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4.25" customHeight="1" x14ac:dyDescent="0.3">
      <c r="A62" s="8"/>
      <c r="B62" s="9">
        <v>45530</v>
      </c>
      <c r="C62" s="9" t="s">
        <v>22</v>
      </c>
      <c r="D62" s="9" t="s">
        <v>12</v>
      </c>
      <c r="E62" s="11" t="s">
        <v>23</v>
      </c>
      <c r="F62" s="11"/>
      <c r="G62" s="11">
        <v>40</v>
      </c>
      <c r="H62" s="10" t="s">
        <v>10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4.25" customHeight="1" x14ac:dyDescent="0.3">
      <c r="A63" s="8"/>
      <c r="B63" s="9">
        <v>45530</v>
      </c>
      <c r="C63" s="9" t="s">
        <v>14</v>
      </c>
      <c r="D63" s="9" t="s">
        <v>12</v>
      </c>
      <c r="E63" s="11" t="s">
        <v>15</v>
      </c>
      <c r="F63" s="11"/>
      <c r="G63" s="11">
        <v>77</v>
      </c>
      <c r="H63" s="10" t="s">
        <v>10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4.25" customHeight="1" x14ac:dyDescent="0.3">
      <c r="A64" s="8"/>
      <c r="B64" s="9">
        <v>45530</v>
      </c>
      <c r="C64" s="9" t="s">
        <v>77</v>
      </c>
      <c r="D64" s="9" t="s">
        <v>20</v>
      </c>
      <c r="E64" s="11" t="s">
        <v>78</v>
      </c>
      <c r="F64" s="11"/>
      <c r="G64" s="11">
        <v>1.3</v>
      </c>
      <c r="H64" s="10" t="s">
        <v>10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4.25" customHeight="1" x14ac:dyDescent="0.3">
      <c r="A65" s="8"/>
      <c r="B65" s="9">
        <v>45530</v>
      </c>
      <c r="C65" s="14" t="s">
        <v>73</v>
      </c>
      <c r="D65" s="9" t="s">
        <v>71</v>
      </c>
      <c r="E65" s="11" t="s">
        <v>74</v>
      </c>
      <c r="F65" s="11"/>
      <c r="G65" s="11">
        <v>7</v>
      </c>
      <c r="H65" s="10" t="s">
        <v>10</v>
      </c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4.25" customHeight="1" x14ac:dyDescent="0.3">
      <c r="A66" s="8"/>
      <c r="B66" s="9">
        <v>45530</v>
      </c>
      <c r="C66" s="14" t="s">
        <v>39</v>
      </c>
      <c r="D66" s="9" t="s">
        <v>20</v>
      </c>
      <c r="E66" s="11" t="s">
        <v>40</v>
      </c>
      <c r="F66" s="11"/>
      <c r="G66" s="11">
        <v>1.3</v>
      </c>
      <c r="H66" s="10" t="s">
        <v>10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4.25" customHeight="1" x14ac:dyDescent="0.3">
      <c r="A67" s="8"/>
      <c r="B67" s="9">
        <v>45530</v>
      </c>
      <c r="C67" s="14" t="s">
        <v>41</v>
      </c>
      <c r="D67" s="9" t="s">
        <v>20</v>
      </c>
      <c r="E67" s="11" t="s">
        <v>42</v>
      </c>
      <c r="F67" s="11"/>
      <c r="G67" s="11">
        <v>5.9</v>
      </c>
      <c r="H67" s="10" t="s">
        <v>10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4.25" customHeight="1" x14ac:dyDescent="0.3">
      <c r="A68" s="8"/>
      <c r="B68" s="9">
        <v>45530</v>
      </c>
      <c r="C68" s="9" t="s">
        <v>35</v>
      </c>
      <c r="D68" s="9" t="s">
        <v>8</v>
      </c>
      <c r="E68" s="11" t="s">
        <v>36</v>
      </c>
      <c r="F68" s="11"/>
      <c r="G68" s="11">
        <v>12</v>
      </c>
      <c r="H68" s="10" t="s">
        <v>10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4.25" customHeight="1" x14ac:dyDescent="0.3">
      <c r="A69" s="8"/>
      <c r="B69" s="9">
        <v>45530</v>
      </c>
      <c r="C69" s="26" t="s">
        <v>19</v>
      </c>
      <c r="D69" s="9" t="s">
        <v>20</v>
      </c>
      <c r="E69" s="11" t="s">
        <v>21</v>
      </c>
      <c r="F69" s="11"/>
      <c r="G69" s="11">
        <v>22</v>
      </c>
      <c r="H69" s="10" t="s">
        <v>10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4.25" customHeight="1" x14ac:dyDescent="0.3">
      <c r="A70" s="8"/>
      <c r="B70" s="9">
        <v>45530</v>
      </c>
      <c r="C70" s="18" t="s">
        <v>79</v>
      </c>
      <c r="D70" s="9" t="s">
        <v>20</v>
      </c>
      <c r="E70" s="11" t="s">
        <v>27</v>
      </c>
      <c r="F70" s="11"/>
      <c r="G70" s="11">
        <v>4.4000000000000004</v>
      </c>
      <c r="H70" s="10" t="s">
        <v>10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4.25" customHeight="1" x14ac:dyDescent="0.3">
      <c r="A71" s="8"/>
      <c r="B71" s="9">
        <v>45530</v>
      </c>
      <c r="C71" s="18" t="s">
        <v>16</v>
      </c>
      <c r="D71" s="9" t="s">
        <v>12</v>
      </c>
      <c r="E71" s="11" t="s">
        <v>17</v>
      </c>
      <c r="F71" s="11"/>
      <c r="G71" s="11">
        <v>1</v>
      </c>
      <c r="H71" s="10" t="s">
        <v>10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4.25" customHeight="1" x14ac:dyDescent="0.3">
      <c r="A72" s="8"/>
      <c r="B72" s="9">
        <v>45530</v>
      </c>
      <c r="C72" s="18" t="s">
        <v>24</v>
      </c>
      <c r="D72" s="9" t="s">
        <v>12</v>
      </c>
      <c r="E72" s="11" t="s">
        <v>25</v>
      </c>
      <c r="F72" s="11"/>
      <c r="G72" s="11">
        <v>40</v>
      </c>
      <c r="H72" s="10" t="s">
        <v>10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4.25" customHeight="1" x14ac:dyDescent="0.3">
      <c r="A73" s="8"/>
      <c r="B73" s="9">
        <v>45530</v>
      </c>
      <c r="C73" s="20" t="s">
        <v>26</v>
      </c>
      <c r="D73" s="9" t="s">
        <v>20</v>
      </c>
      <c r="E73" s="11" t="s">
        <v>27</v>
      </c>
      <c r="F73" s="11"/>
      <c r="G73" s="11">
        <v>2</v>
      </c>
      <c r="H73" s="10" t="s">
        <v>10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4.25" customHeight="1" x14ac:dyDescent="0.3">
      <c r="A74" s="8"/>
      <c r="B74" s="9">
        <v>45530</v>
      </c>
      <c r="C74" s="9" t="s">
        <v>68</v>
      </c>
      <c r="D74" s="9" t="s">
        <v>12</v>
      </c>
      <c r="E74" s="11" t="s">
        <v>69</v>
      </c>
      <c r="F74" s="11"/>
      <c r="G74" s="11">
        <v>9</v>
      </c>
      <c r="H74" s="10" t="s">
        <v>10</v>
      </c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4.25" customHeight="1" x14ac:dyDescent="0.3">
      <c r="A75" s="8"/>
      <c r="B75" s="9">
        <v>45530</v>
      </c>
      <c r="C75" s="9" t="s">
        <v>80</v>
      </c>
      <c r="D75" s="9" t="s">
        <v>71</v>
      </c>
      <c r="E75" s="11" t="s">
        <v>81</v>
      </c>
      <c r="F75" s="11"/>
      <c r="G75" s="11">
        <v>1</v>
      </c>
      <c r="H75" s="10" t="s">
        <v>10</v>
      </c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4.25" customHeight="1" x14ac:dyDescent="0.3">
      <c r="A76" s="8"/>
      <c r="B76" s="9">
        <v>45530</v>
      </c>
      <c r="C76" s="9" t="s">
        <v>70</v>
      </c>
      <c r="D76" s="9" t="s">
        <v>71</v>
      </c>
      <c r="E76" s="11" t="s">
        <v>72</v>
      </c>
      <c r="F76" s="11"/>
      <c r="G76" s="11">
        <v>4</v>
      </c>
      <c r="H76" s="10" t="s">
        <v>10</v>
      </c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4.25" customHeight="1" x14ac:dyDescent="0.3">
      <c r="A77" s="8"/>
      <c r="B77" s="9">
        <v>45530</v>
      </c>
      <c r="C77" s="9" t="s">
        <v>53</v>
      </c>
      <c r="D77" s="9" t="s">
        <v>12</v>
      </c>
      <c r="E77" s="11" t="s">
        <v>54</v>
      </c>
      <c r="F77" s="11"/>
      <c r="G77" s="11">
        <v>24</v>
      </c>
      <c r="H77" s="10" t="s">
        <v>10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4.25" customHeight="1" x14ac:dyDescent="0.3">
      <c r="A78" s="8"/>
      <c r="B78" s="9">
        <v>45530</v>
      </c>
      <c r="C78" s="9" t="s">
        <v>66</v>
      </c>
      <c r="D78" s="9" t="s">
        <v>20</v>
      </c>
      <c r="E78" s="11" t="s">
        <v>67</v>
      </c>
      <c r="F78" s="11"/>
      <c r="G78" s="11">
        <v>4</v>
      </c>
      <c r="H78" s="10" t="s">
        <v>10</v>
      </c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4.25" customHeight="1" x14ac:dyDescent="0.3">
      <c r="A79" s="8"/>
      <c r="B79" s="9">
        <v>45530</v>
      </c>
      <c r="C79" s="9" t="s">
        <v>47</v>
      </c>
      <c r="D79" s="9" t="s">
        <v>20</v>
      </c>
      <c r="E79" s="11" t="s">
        <v>48</v>
      </c>
      <c r="F79" s="11"/>
      <c r="G79" s="11">
        <v>1.8</v>
      </c>
      <c r="H79" s="10" t="s">
        <v>10</v>
      </c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4.25" customHeight="1" x14ac:dyDescent="0.3">
      <c r="A80" s="8"/>
      <c r="B80" s="9">
        <v>45530</v>
      </c>
      <c r="C80" s="9" t="s">
        <v>55</v>
      </c>
      <c r="D80" s="9" t="s">
        <v>12</v>
      </c>
      <c r="E80" s="11" t="s">
        <v>56</v>
      </c>
      <c r="F80" s="11"/>
      <c r="G80" s="11">
        <v>299</v>
      </c>
      <c r="H80" s="10" t="s">
        <v>10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4.25" customHeight="1" x14ac:dyDescent="0.3">
      <c r="A81" s="8"/>
      <c r="B81" s="9">
        <v>45531</v>
      </c>
      <c r="C81" s="9" t="s">
        <v>43</v>
      </c>
      <c r="D81" s="9" t="s">
        <v>20</v>
      </c>
      <c r="E81" s="11" t="s">
        <v>44</v>
      </c>
      <c r="F81" s="11"/>
      <c r="G81" s="11">
        <v>2.2000000000000002</v>
      </c>
      <c r="H81" s="10" t="s">
        <v>10</v>
      </c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4.25" customHeight="1" x14ac:dyDescent="0.3">
      <c r="A82" s="8"/>
      <c r="B82" s="9">
        <v>45531</v>
      </c>
      <c r="C82" s="9" t="s">
        <v>51</v>
      </c>
      <c r="D82" s="9" t="s">
        <v>20</v>
      </c>
      <c r="E82" s="11" t="s">
        <v>52</v>
      </c>
      <c r="F82" s="11"/>
      <c r="G82" s="11">
        <v>0.5</v>
      </c>
      <c r="H82" s="10" t="s">
        <v>10</v>
      </c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4.25" customHeight="1" x14ac:dyDescent="0.3">
      <c r="A83" s="8"/>
      <c r="B83" s="9">
        <v>45531</v>
      </c>
      <c r="C83" s="9" t="s">
        <v>39</v>
      </c>
      <c r="D83" s="9" t="s">
        <v>20</v>
      </c>
      <c r="E83" s="11" t="s">
        <v>40</v>
      </c>
      <c r="F83" s="11">
        <v>1.2</v>
      </c>
      <c r="G83" s="11"/>
      <c r="H83" s="10" t="s">
        <v>18</v>
      </c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4.25" customHeight="1" x14ac:dyDescent="0.3">
      <c r="A84" s="8"/>
      <c r="B84" s="9">
        <v>45531</v>
      </c>
      <c r="C84" s="9" t="s">
        <v>41</v>
      </c>
      <c r="D84" s="9" t="s">
        <v>20</v>
      </c>
      <c r="E84" s="11" t="s">
        <v>42</v>
      </c>
      <c r="F84" s="11">
        <v>1.2</v>
      </c>
      <c r="G84" s="11"/>
      <c r="H84" s="10" t="s">
        <v>18</v>
      </c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4.25" customHeight="1" x14ac:dyDescent="0.3">
      <c r="A85" s="8"/>
      <c r="B85" s="9">
        <v>45531</v>
      </c>
      <c r="C85" s="9" t="s">
        <v>7</v>
      </c>
      <c r="D85" s="9" t="s">
        <v>8</v>
      </c>
      <c r="E85" s="11" t="s">
        <v>31</v>
      </c>
      <c r="F85" s="11">
        <v>3</v>
      </c>
      <c r="G85" s="11"/>
      <c r="H85" s="10" t="s">
        <v>18</v>
      </c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4.25" customHeight="1" x14ac:dyDescent="0.3">
      <c r="A86" s="8"/>
      <c r="B86" s="9">
        <v>45531</v>
      </c>
      <c r="C86" s="9" t="s">
        <v>30</v>
      </c>
      <c r="D86" s="9" t="s">
        <v>8</v>
      </c>
      <c r="E86" s="18" t="s">
        <v>9</v>
      </c>
      <c r="F86" s="11">
        <v>1</v>
      </c>
      <c r="G86" s="11"/>
      <c r="H86" s="10" t="s">
        <v>18</v>
      </c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4.25" customHeight="1" x14ac:dyDescent="0.3">
      <c r="A87" s="8"/>
      <c r="B87" s="9">
        <v>45531</v>
      </c>
      <c r="C87" s="9" t="s">
        <v>22</v>
      </c>
      <c r="D87" s="9" t="s">
        <v>12</v>
      </c>
      <c r="E87" s="11" t="s">
        <v>23</v>
      </c>
      <c r="F87" s="11">
        <v>15</v>
      </c>
      <c r="G87" s="11"/>
      <c r="H87" s="10" t="s">
        <v>18</v>
      </c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4.25" customHeight="1" x14ac:dyDescent="0.3">
      <c r="A88" s="8"/>
      <c r="B88" s="9">
        <v>45531</v>
      </c>
      <c r="C88" s="9" t="s">
        <v>41</v>
      </c>
      <c r="D88" s="9" t="s">
        <v>20</v>
      </c>
      <c r="E88" s="11" t="s">
        <v>42</v>
      </c>
      <c r="F88" s="11"/>
      <c r="G88" s="11">
        <v>1.2</v>
      </c>
      <c r="H88" s="10" t="s">
        <v>10</v>
      </c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4.25" customHeight="1" x14ac:dyDescent="0.3">
      <c r="A89" s="8"/>
      <c r="B89" s="9">
        <v>45531</v>
      </c>
      <c r="C89" s="9" t="s">
        <v>22</v>
      </c>
      <c r="D89" s="9" t="s">
        <v>12</v>
      </c>
      <c r="E89" s="11" t="s">
        <v>23</v>
      </c>
      <c r="F89" s="11"/>
      <c r="G89" s="11">
        <v>6</v>
      </c>
      <c r="H89" s="10" t="s">
        <v>10</v>
      </c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4.25" customHeight="1" x14ac:dyDescent="0.3">
      <c r="A90" s="8"/>
      <c r="B90" s="9">
        <v>45531</v>
      </c>
      <c r="C90" s="9" t="s">
        <v>39</v>
      </c>
      <c r="D90" s="9" t="s">
        <v>20</v>
      </c>
      <c r="E90" s="11" t="s">
        <v>40</v>
      </c>
      <c r="F90" s="11"/>
      <c r="G90" s="11">
        <v>3.6</v>
      </c>
      <c r="H90" s="10" t="s">
        <v>10</v>
      </c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4.25" customHeight="1" x14ac:dyDescent="0.3">
      <c r="A91" s="8"/>
      <c r="B91" s="9">
        <v>45532</v>
      </c>
      <c r="C91" s="9" t="s">
        <v>30</v>
      </c>
      <c r="D91" s="9" t="s">
        <v>8</v>
      </c>
      <c r="E91" s="11" t="s">
        <v>31</v>
      </c>
      <c r="F91" s="11"/>
      <c r="G91" s="11">
        <v>3</v>
      </c>
      <c r="H91" s="10" t="s">
        <v>10</v>
      </c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4.25" customHeight="1" x14ac:dyDescent="0.3">
      <c r="A92" s="8"/>
      <c r="B92" s="9">
        <v>45532</v>
      </c>
      <c r="C92" s="9" t="s">
        <v>7</v>
      </c>
      <c r="D92" s="9" t="s">
        <v>8</v>
      </c>
      <c r="E92" s="11" t="s">
        <v>9</v>
      </c>
      <c r="F92" s="11"/>
      <c r="G92" s="11">
        <v>3</v>
      </c>
      <c r="H92" s="10" t="s">
        <v>10</v>
      </c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4.25" customHeight="1" x14ac:dyDescent="0.3">
      <c r="A93" s="8"/>
      <c r="B93" s="9">
        <v>45532</v>
      </c>
      <c r="C93" s="9" t="s">
        <v>28</v>
      </c>
      <c r="D93" s="9" t="s">
        <v>8</v>
      </c>
      <c r="E93" s="11" t="s">
        <v>29</v>
      </c>
      <c r="F93" s="10">
        <v>3</v>
      </c>
      <c r="G93" s="10"/>
      <c r="H93" s="10" t="s">
        <v>18</v>
      </c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4.25" customHeight="1" x14ac:dyDescent="0.3">
      <c r="A94" s="8"/>
      <c r="B94" s="38">
        <v>45532</v>
      </c>
      <c r="C94" s="9" t="s">
        <v>75</v>
      </c>
      <c r="D94" s="9" t="s">
        <v>8</v>
      </c>
      <c r="E94" s="11" t="s">
        <v>76</v>
      </c>
      <c r="F94" s="10">
        <v>2</v>
      </c>
      <c r="G94" s="10"/>
      <c r="H94" s="10" t="s">
        <v>18</v>
      </c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4.25" customHeight="1" x14ac:dyDescent="0.3">
      <c r="A95" s="8"/>
      <c r="B95" s="38">
        <v>45532</v>
      </c>
      <c r="C95" s="9" t="s">
        <v>77</v>
      </c>
      <c r="D95" s="9" t="s">
        <v>20</v>
      </c>
      <c r="E95" s="11" t="s">
        <v>78</v>
      </c>
      <c r="F95" s="10"/>
      <c r="G95" s="10">
        <v>0.9</v>
      </c>
      <c r="H95" s="10" t="s">
        <v>10</v>
      </c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4.25" customHeight="1" x14ac:dyDescent="0.3">
      <c r="A96" s="8"/>
      <c r="B96" s="38">
        <v>45532</v>
      </c>
      <c r="C96" s="9" t="s">
        <v>43</v>
      </c>
      <c r="D96" s="9" t="s">
        <v>20</v>
      </c>
      <c r="E96" s="11" t="s">
        <v>44</v>
      </c>
      <c r="F96" s="10">
        <v>13</v>
      </c>
      <c r="G96" s="10"/>
      <c r="H96" s="10" t="s">
        <v>18</v>
      </c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4.25" customHeight="1" x14ac:dyDescent="0.3">
      <c r="A97" s="8"/>
      <c r="B97" s="38">
        <v>45532</v>
      </c>
      <c r="C97" s="9" t="s">
        <v>37</v>
      </c>
      <c r="D97" s="9" t="s">
        <v>20</v>
      </c>
      <c r="E97" s="11" t="s">
        <v>38</v>
      </c>
      <c r="F97" s="10"/>
      <c r="G97" s="10">
        <v>6</v>
      </c>
      <c r="H97" s="10" t="s">
        <v>10</v>
      </c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4.25" customHeight="1" x14ac:dyDescent="0.3">
      <c r="A98" s="8"/>
      <c r="B98" s="38">
        <v>45532</v>
      </c>
      <c r="C98" s="9" t="s">
        <v>49</v>
      </c>
      <c r="D98" s="9" t="s">
        <v>20</v>
      </c>
      <c r="E98" s="11" t="s">
        <v>50</v>
      </c>
      <c r="F98" s="10"/>
      <c r="G98" s="10">
        <v>1.8</v>
      </c>
      <c r="H98" s="10" t="s">
        <v>10</v>
      </c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4.25" customHeight="1" x14ac:dyDescent="0.3">
      <c r="A99" s="8"/>
      <c r="B99" s="38">
        <v>45532</v>
      </c>
      <c r="C99" s="9" t="s">
        <v>79</v>
      </c>
      <c r="D99" s="9" t="s">
        <v>20</v>
      </c>
      <c r="E99" s="11" t="s">
        <v>82</v>
      </c>
      <c r="F99" s="10"/>
      <c r="G99" s="10">
        <v>5.6</v>
      </c>
      <c r="H99" s="10" t="s">
        <v>10</v>
      </c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4.25" customHeight="1" x14ac:dyDescent="0.3">
      <c r="A100" s="8"/>
      <c r="B100" s="38">
        <v>45532</v>
      </c>
      <c r="C100" s="9" t="s">
        <v>61</v>
      </c>
      <c r="D100" s="9" t="s">
        <v>20</v>
      </c>
      <c r="E100" s="11" t="s">
        <v>62</v>
      </c>
      <c r="F100" s="10"/>
      <c r="G100" s="10">
        <v>2</v>
      </c>
      <c r="H100" s="10" t="s">
        <v>10</v>
      </c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4.25" customHeight="1" x14ac:dyDescent="0.3">
      <c r="A101" s="8"/>
      <c r="B101" s="38">
        <v>45532</v>
      </c>
      <c r="C101" s="9" t="s">
        <v>51</v>
      </c>
      <c r="D101" s="9" t="s">
        <v>20</v>
      </c>
      <c r="E101" s="11" t="s">
        <v>52</v>
      </c>
      <c r="F101" s="10"/>
      <c r="G101" s="10">
        <v>0.8</v>
      </c>
      <c r="H101" s="10" t="s">
        <v>10</v>
      </c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4.25" customHeight="1" x14ac:dyDescent="0.3">
      <c r="A102" s="8"/>
      <c r="B102" s="38">
        <v>45532</v>
      </c>
      <c r="C102" s="9" t="s">
        <v>41</v>
      </c>
      <c r="D102" s="9" t="s">
        <v>20</v>
      </c>
      <c r="E102" s="11" t="s">
        <v>42</v>
      </c>
      <c r="F102" s="10">
        <v>3.9</v>
      </c>
      <c r="G102" s="10"/>
      <c r="H102" s="10" t="s">
        <v>18</v>
      </c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4.25" customHeight="1" x14ac:dyDescent="0.3">
      <c r="A103" s="8"/>
      <c r="B103" s="38">
        <v>45532</v>
      </c>
      <c r="C103" s="9" t="s">
        <v>41</v>
      </c>
      <c r="D103" s="9" t="s">
        <v>20</v>
      </c>
      <c r="E103" s="11" t="s">
        <v>42</v>
      </c>
      <c r="F103" s="10"/>
      <c r="G103" s="10">
        <v>1.9</v>
      </c>
      <c r="H103" s="10" t="s">
        <v>10</v>
      </c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4.25" customHeight="1" x14ac:dyDescent="0.3">
      <c r="A104" s="8"/>
      <c r="B104" s="38">
        <v>45532</v>
      </c>
      <c r="C104" s="9" t="s">
        <v>55</v>
      </c>
      <c r="D104" s="9" t="s">
        <v>12</v>
      </c>
      <c r="E104" s="11" t="s">
        <v>56</v>
      </c>
      <c r="F104" s="10"/>
      <c r="G104" s="10">
        <v>120</v>
      </c>
      <c r="H104" s="10" t="s">
        <v>10</v>
      </c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4.25" customHeight="1" x14ac:dyDescent="0.3">
      <c r="A105" s="8"/>
      <c r="B105" s="38">
        <v>45537</v>
      </c>
      <c r="C105" s="39" t="s">
        <v>83</v>
      </c>
      <c r="D105" s="9" t="s">
        <v>20</v>
      </c>
      <c r="E105" s="11" t="s">
        <v>84</v>
      </c>
      <c r="F105" s="10">
        <f>4*5</f>
        <v>20</v>
      </c>
      <c r="G105" s="10"/>
      <c r="H105" s="10" t="s">
        <v>18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4.25" customHeight="1" x14ac:dyDescent="0.3">
      <c r="A106" s="8"/>
      <c r="B106" s="38">
        <v>45537</v>
      </c>
      <c r="C106" s="14" t="s">
        <v>85</v>
      </c>
      <c r="D106" s="9" t="s">
        <v>12</v>
      </c>
      <c r="E106" s="11" t="s">
        <v>86</v>
      </c>
      <c r="F106" s="10">
        <v>12</v>
      </c>
      <c r="G106" s="10"/>
      <c r="H106" s="10" t="s">
        <v>18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4.25" customHeight="1" x14ac:dyDescent="0.3">
      <c r="A107" s="8"/>
      <c r="B107" s="38">
        <v>45537</v>
      </c>
      <c r="C107" s="9" t="s">
        <v>79</v>
      </c>
      <c r="D107" s="9" t="s">
        <v>20</v>
      </c>
      <c r="E107" s="11" t="s">
        <v>82</v>
      </c>
      <c r="F107" s="10"/>
      <c r="G107" s="10">
        <v>2</v>
      </c>
      <c r="H107" s="10" t="s">
        <v>10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4.25" customHeight="1" x14ac:dyDescent="0.3">
      <c r="A108" s="8"/>
      <c r="B108" s="38">
        <v>45537</v>
      </c>
      <c r="C108" s="39" t="s">
        <v>83</v>
      </c>
      <c r="D108" s="9" t="s">
        <v>20</v>
      </c>
      <c r="E108" s="11" t="s">
        <v>84</v>
      </c>
      <c r="F108" s="10"/>
      <c r="G108" s="10">
        <v>5</v>
      </c>
      <c r="H108" s="10" t="s">
        <v>10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4.25" customHeight="1" x14ac:dyDescent="0.3">
      <c r="A109" s="8"/>
      <c r="B109" s="38">
        <v>45537</v>
      </c>
      <c r="C109" s="26" t="s">
        <v>87</v>
      </c>
      <c r="D109" s="9" t="s">
        <v>20</v>
      </c>
      <c r="E109" s="11" t="s">
        <v>88</v>
      </c>
      <c r="F109" s="10">
        <v>10</v>
      </c>
      <c r="G109" s="10"/>
      <c r="H109" s="10" t="s">
        <v>89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4.25" customHeight="1" x14ac:dyDescent="0.3">
      <c r="A110" s="8"/>
      <c r="B110" s="38">
        <v>45537</v>
      </c>
      <c r="C110" s="39" t="s">
        <v>90</v>
      </c>
      <c r="D110" s="9" t="s">
        <v>20</v>
      </c>
      <c r="E110" s="11" t="s">
        <v>91</v>
      </c>
      <c r="F110" s="10">
        <v>10</v>
      </c>
      <c r="G110" s="10"/>
      <c r="H110" s="10" t="s">
        <v>89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4.25" customHeight="1" x14ac:dyDescent="0.3">
      <c r="A111" s="8"/>
      <c r="B111" s="38">
        <v>45537</v>
      </c>
      <c r="C111" s="26" t="s">
        <v>87</v>
      </c>
      <c r="D111" s="9" t="s">
        <v>20</v>
      </c>
      <c r="E111" s="11" t="s">
        <v>88</v>
      </c>
      <c r="F111" s="10"/>
      <c r="G111" s="10">
        <v>2</v>
      </c>
      <c r="H111" s="10" t="s">
        <v>10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4.25" customHeight="1" x14ac:dyDescent="0.3">
      <c r="A112" s="8"/>
      <c r="B112" s="38">
        <v>45537</v>
      </c>
      <c r="C112" s="39" t="s">
        <v>90</v>
      </c>
      <c r="D112" s="9" t="s">
        <v>20</v>
      </c>
      <c r="E112" s="11" t="s">
        <v>91</v>
      </c>
      <c r="F112" s="10"/>
      <c r="G112" s="10">
        <v>2</v>
      </c>
      <c r="H112" s="10" t="s">
        <v>10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4.25" customHeight="1" x14ac:dyDescent="0.3">
      <c r="A113" s="8"/>
      <c r="B113" s="38">
        <v>45537</v>
      </c>
      <c r="C113" s="9" t="s">
        <v>77</v>
      </c>
      <c r="D113" s="9" t="s">
        <v>20</v>
      </c>
      <c r="E113" s="11" t="s">
        <v>78</v>
      </c>
      <c r="F113" s="10">
        <v>2.69</v>
      </c>
      <c r="G113" s="10"/>
      <c r="H113" s="10" t="s">
        <v>18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4.25" customHeight="1" x14ac:dyDescent="0.3">
      <c r="A114" s="8"/>
      <c r="B114" s="38">
        <v>45537</v>
      </c>
      <c r="C114" s="9" t="s">
        <v>28</v>
      </c>
      <c r="D114" s="9" t="s">
        <v>8</v>
      </c>
      <c r="E114" s="11" t="s">
        <v>29</v>
      </c>
      <c r="F114" s="10">
        <v>1</v>
      </c>
      <c r="G114" s="10"/>
      <c r="H114" s="10" t="s">
        <v>18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4.25" customHeight="1" x14ac:dyDescent="0.3">
      <c r="A115" s="8"/>
      <c r="B115" s="38">
        <v>45537</v>
      </c>
      <c r="C115" s="9" t="s">
        <v>75</v>
      </c>
      <c r="D115" s="9" t="s">
        <v>8</v>
      </c>
      <c r="E115" s="11" t="s">
        <v>76</v>
      </c>
      <c r="F115" s="10">
        <v>1</v>
      </c>
      <c r="G115" s="10"/>
      <c r="H115" s="10" t="s">
        <v>18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4.25" customHeight="1" x14ac:dyDescent="0.3">
      <c r="A116" s="8"/>
      <c r="B116" s="38">
        <v>45537</v>
      </c>
      <c r="C116" s="40" t="s">
        <v>39</v>
      </c>
      <c r="D116" s="40" t="s">
        <v>20</v>
      </c>
      <c r="E116" s="41" t="s">
        <v>40</v>
      </c>
      <c r="F116" s="10">
        <v>7.5</v>
      </c>
      <c r="G116" s="10"/>
      <c r="H116" s="10" t="s">
        <v>18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4.25" customHeight="1" x14ac:dyDescent="0.3">
      <c r="A117" s="8"/>
      <c r="B117" s="38">
        <v>45537</v>
      </c>
      <c r="C117" s="9" t="s">
        <v>41</v>
      </c>
      <c r="D117" s="9" t="s">
        <v>20</v>
      </c>
      <c r="E117" s="11" t="s">
        <v>42</v>
      </c>
      <c r="F117" s="10">
        <v>8</v>
      </c>
      <c r="G117" s="10"/>
      <c r="H117" s="10" t="s">
        <v>18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4.25" customHeight="1" x14ac:dyDescent="0.3">
      <c r="A118" s="8"/>
      <c r="B118" s="38">
        <v>45537</v>
      </c>
      <c r="C118" s="9" t="s">
        <v>30</v>
      </c>
      <c r="D118" s="9" t="s">
        <v>8</v>
      </c>
      <c r="E118" s="11" t="s">
        <v>31</v>
      </c>
      <c r="F118" s="10">
        <v>1</v>
      </c>
      <c r="G118" s="10"/>
      <c r="H118" s="10" t="s">
        <v>18</v>
      </c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4.25" customHeight="1" x14ac:dyDescent="0.3">
      <c r="A119" s="8"/>
      <c r="B119" s="38">
        <v>45537</v>
      </c>
      <c r="C119" s="9" t="s">
        <v>28</v>
      </c>
      <c r="D119" s="9" t="s">
        <v>8</v>
      </c>
      <c r="E119" s="11" t="s">
        <v>29</v>
      </c>
      <c r="F119" s="10">
        <v>3</v>
      </c>
      <c r="G119" s="10"/>
      <c r="H119" s="10" t="s">
        <v>18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4.25" customHeight="1" x14ac:dyDescent="0.3">
      <c r="A120" s="8"/>
      <c r="B120" s="38">
        <v>45537</v>
      </c>
      <c r="C120" s="9" t="s">
        <v>22</v>
      </c>
      <c r="D120" s="9" t="s">
        <v>12</v>
      </c>
      <c r="E120" s="11" t="s">
        <v>23</v>
      </c>
      <c r="F120" s="10">
        <v>20</v>
      </c>
      <c r="G120" s="10"/>
      <c r="H120" s="10" t="s">
        <v>18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4.25" customHeight="1" x14ac:dyDescent="0.3">
      <c r="A121" s="8"/>
      <c r="B121" s="38">
        <v>45537</v>
      </c>
      <c r="C121" s="20" t="s">
        <v>188</v>
      </c>
      <c r="D121" s="9" t="s">
        <v>12</v>
      </c>
      <c r="E121" s="11" t="s">
        <v>92</v>
      </c>
      <c r="F121" s="10">
        <v>552</v>
      </c>
      <c r="G121" s="10"/>
      <c r="H121" s="10" t="s">
        <v>18</v>
      </c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4.25" customHeight="1" x14ac:dyDescent="0.3">
      <c r="A122" s="8"/>
      <c r="B122" s="38">
        <v>45539</v>
      </c>
      <c r="C122" s="9" t="s">
        <v>30</v>
      </c>
      <c r="D122" s="9" t="s">
        <v>8</v>
      </c>
      <c r="E122" s="11" t="s">
        <v>31</v>
      </c>
      <c r="F122" s="10"/>
      <c r="G122" s="10">
        <v>1</v>
      </c>
      <c r="H122" s="10" t="s">
        <v>10</v>
      </c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4.25" customHeight="1" x14ac:dyDescent="0.3">
      <c r="A123" s="8"/>
      <c r="B123" s="38">
        <v>45539</v>
      </c>
      <c r="C123" s="9" t="s">
        <v>28</v>
      </c>
      <c r="D123" s="9" t="s">
        <v>8</v>
      </c>
      <c r="E123" s="11" t="s">
        <v>29</v>
      </c>
      <c r="F123" s="10"/>
      <c r="G123" s="10">
        <v>3</v>
      </c>
      <c r="H123" s="10" t="s">
        <v>10</v>
      </c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4.25" customHeight="1" x14ac:dyDescent="0.3">
      <c r="A124" s="8"/>
      <c r="B124" s="38">
        <v>45539</v>
      </c>
      <c r="C124" s="9" t="s">
        <v>7</v>
      </c>
      <c r="D124" s="9" t="s">
        <v>8</v>
      </c>
      <c r="E124" s="11" t="s">
        <v>9</v>
      </c>
      <c r="F124" s="10"/>
      <c r="G124" s="10">
        <v>2</v>
      </c>
      <c r="H124" s="10" t="s">
        <v>10</v>
      </c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4.25" customHeight="1" x14ac:dyDescent="0.3">
      <c r="A125" s="8"/>
      <c r="B125" s="38">
        <v>45539</v>
      </c>
      <c r="C125" s="9" t="s">
        <v>75</v>
      </c>
      <c r="D125" s="9" t="s">
        <v>8</v>
      </c>
      <c r="E125" s="11" t="s">
        <v>76</v>
      </c>
      <c r="F125" s="10"/>
      <c r="G125" s="10">
        <v>1</v>
      </c>
      <c r="H125" s="10" t="s">
        <v>10</v>
      </c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4.25" customHeight="1" x14ac:dyDescent="0.3">
      <c r="A126" s="8"/>
      <c r="B126" s="38">
        <v>45539</v>
      </c>
      <c r="C126" s="9" t="s">
        <v>22</v>
      </c>
      <c r="D126" s="9" t="s">
        <v>12</v>
      </c>
      <c r="E126" s="11" t="s">
        <v>23</v>
      </c>
      <c r="F126" s="10"/>
      <c r="G126" s="10">
        <v>36</v>
      </c>
      <c r="H126" s="10" t="s">
        <v>10</v>
      </c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4.25" customHeight="1" x14ac:dyDescent="0.3">
      <c r="A127" s="8"/>
      <c r="B127" s="38">
        <v>45539</v>
      </c>
      <c r="C127" s="9" t="s">
        <v>188</v>
      </c>
      <c r="D127" s="9" t="s">
        <v>12</v>
      </c>
      <c r="E127" s="11" t="s">
        <v>92</v>
      </c>
      <c r="F127" s="10"/>
      <c r="G127" s="10">
        <v>40</v>
      </c>
      <c r="H127" s="10" t="s">
        <v>10</v>
      </c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4.25" customHeight="1" x14ac:dyDescent="0.3">
      <c r="A128" s="8"/>
      <c r="B128" s="38">
        <v>45539</v>
      </c>
      <c r="C128" s="9" t="s">
        <v>43</v>
      </c>
      <c r="D128" s="9" t="s">
        <v>20</v>
      </c>
      <c r="E128" s="11" t="s">
        <v>44</v>
      </c>
      <c r="F128" s="10"/>
      <c r="G128" s="10">
        <v>10.8</v>
      </c>
      <c r="H128" s="10" t="s">
        <v>10</v>
      </c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4.25" customHeight="1" x14ac:dyDescent="0.3">
      <c r="A129" s="8"/>
      <c r="B129" s="38">
        <v>45539</v>
      </c>
      <c r="C129" s="9" t="s">
        <v>43</v>
      </c>
      <c r="D129" s="9" t="s">
        <v>20</v>
      </c>
      <c r="E129" s="11" t="s">
        <v>44</v>
      </c>
      <c r="F129" s="10">
        <v>1.7</v>
      </c>
      <c r="G129" s="10"/>
      <c r="H129" s="10" t="s">
        <v>18</v>
      </c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4.25" customHeight="1" x14ac:dyDescent="0.3">
      <c r="A130" s="8"/>
      <c r="B130" s="38">
        <v>45539</v>
      </c>
      <c r="C130" s="9" t="s">
        <v>93</v>
      </c>
      <c r="D130" s="9" t="s">
        <v>12</v>
      </c>
      <c r="E130" s="11" t="s">
        <v>94</v>
      </c>
      <c r="F130" s="10">
        <v>60</v>
      </c>
      <c r="G130" s="10"/>
      <c r="H130" s="10" t="s">
        <v>18</v>
      </c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4.25" customHeight="1" x14ac:dyDescent="0.3">
      <c r="A131" s="8"/>
      <c r="B131" s="38">
        <v>45539</v>
      </c>
      <c r="C131" s="9" t="s">
        <v>49</v>
      </c>
      <c r="D131" s="9" t="s">
        <v>20</v>
      </c>
      <c r="E131" s="11" t="s">
        <v>50</v>
      </c>
      <c r="F131" s="10">
        <v>3.5</v>
      </c>
      <c r="G131" s="10"/>
      <c r="H131" s="10" t="s">
        <v>18</v>
      </c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4.25" customHeight="1" x14ac:dyDescent="0.3">
      <c r="A132" s="8"/>
      <c r="B132" s="38">
        <v>45539</v>
      </c>
      <c r="C132" s="9" t="s">
        <v>47</v>
      </c>
      <c r="D132" s="9" t="s">
        <v>20</v>
      </c>
      <c r="E132" s="11" t="s">
        <v>48</v>
      </c>
      <c r="F132" s="10">
        <v>3</v>
      </c>
      <c r="G132" s="10"/>
      <c r="H132" s="10" t="s">
        <v>18</v>
      </c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4.25" customHeight="1" x14ac:dyDescent="0.3">
      <c r="A133" s="8"/>
      <c r="B133" s="38">
        <v>45539</v>
      </c>
      <c r="C133" s="9" t="s">
        <v>95</v>
      </c>
      <c r="D133" s="9" t="s">
        <v>12</v>
      </c>
      <c r="E133" s="11" t="s">
        <v>96</v>
      </c>
      <c r="F133" s="10"/>
      <c r="G133" s="10">
        <v>30</v>
      </c>
      <c r="H133" s="10" t="s">
        <v>10</v>
      </c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4.25" customHeight="1" x14ac:dyDescent="0.3">
      <c r="A134" s="8"/>
      <c r="B134" s="38">
        <v>45539</v>
      </c>
      <c r="C134" s="9" t="s">
        <v>66</v>
      </c>
      <c r="D134" s="9" t="s">
        <v>20</v>
      </c>
      <c r="E134" s="11" t="s">
        <v>67</v>
      </c>
      <c r="F134" s="10">
        <v>4.4000000000000004</v>
      </c>
      <c r="G134" s="10"/>
      <c r="H134" s="10" t="s">
        <v>18</v>
      </c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4.25" customHeight="1" x14ac:dyDescent="0.3">
      <c r="A135" s="8"/>
      <c r="B135" s="38">
        <v>45539</v>
      </c>
      <c r="C135" s="9" t="s">
        <v>68</v>
      </c>
      <c r="D135" s="9" t="s">
        <v>12</v>
      </c>
      <c r="E135" s="11" t="s">
        <v>69</v>
      </c>
      <c r="F135" s="10"/>
      <c r="G135" s="10">
        <v>8</v>
      </c>
      <c r="H135" s="10" t="s">
        <v>10</v>
      </c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4.25" customHeight="1" x14ac:dyDescent="0.3">
      <c r="A136" s="8"/>
      <c r="B136" s="38">
        <v>45539</v>
      </c>
      <c r="C136" s="14" t="s">
        <v>55</v>
      </c>
      <c r="D136" s="9" t="s">
        <v>12</v>
      </c>
      <c r="E136" s="11" t="s">
        <v>56</v>
      </c>
      <c r="F136" s="10"/>
      <c r="G136" s="10">
        <v>60</v>
      </c>
      <c r="H136" s="10" t="s">
        <v>10</v>
      </c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4.25" customHeight="1" x14ac:dyDescent="0.3">
      <c r="A137" s="8"/>
      <c r="B137" s="38">
        <v>45539</v>
      </c>
      <c r="C137" s="9" t="s">
        <v>11</v>
      </c>
      <c r="D137" s="9" t="s">
        <v>12</v>
      </c>
      <c r="E137" s="11" t="s">
        <v>13</v>
      </c>
      <c r="F137" s="10"/>
      <c r="G137" s="10">
        <v>4</v>
      </c>
      <c r="H137" s="10" t="s">
        <v>10</v>
      </c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4.25" customHeight="1" x14ac:dyDescent="0.3">
      <c r="A138" s="8"/>
      <c r="B138" s="38">
        <v>45539</v>
      </c>
      <c r="C138" s="9" t="s">
        <v>61</v>
      </c>
      <c r="D138" s="9" t="s">
        <v>20</v>
      </c>
      <c r="E138" s="11" t="s">
        <v>62</v>
      </c>
      <c r="F138" s="10"/>
      <c r="G138" s="10">
        <v>3.75</v>
      </c>
      <c r="H138" s="10" t="s">
        <v>10</v>
      </c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4.25" customHeight="1" x14ac:dyDescent="0.3">
      <c r="A139" s="8"/>
      <c r="B139" s="38">
        <v>45539</v>
      </c>
      <c r="C139" s="9" t="s">
        <v>85</v>
      </c>
      <c r="D139" s="9" t="s">
        <v>12</v>
      </c>
      <c r="E139" s="11" t="s">
        <v>97</v>
      </c>
      <c r="F139" s="10"/>
      <c r="G139" s="10">
        <v>2</v>
      </c>
      <c r="H139" s="10" t="s">
        <v>10</v>
      </c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4.25" customHeight="1" x14ac:dyDescent="0.3">
      <c r="A140" s="8"/>
      <c r="B140" s="38">
        <v>45539</v>
      </c>
      <c r="C140" s="9" t="s">
        <v>79</v>
      </c>
      <c r="D140" s="9" t="s">
        <v>20</v>
      </c>
      <c r="E140" s="11" t="s">
        <v>82</v>
      </c>
      <c r="F140" s="10">
        <v>0.7</v>
      </c>
      <c r="G140" s="10"/>
      <c r="H140" s="10" t="s">
        <v>18</v>
      </c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4.25" customHeight="1" x14ac:dyDescent="0.3">
      <c r="A141" s="8"/>
      <c r="B141" s="38">
        <v>45539</v>
      </c>
      <c r="C141" s="18" t="s">
        <v>24</v>
      </c>
      <c r="D141" s="9" t="s">
        <v>12</v>
      </c>
      <c r="E141" s="11" t="s">
        <v>25</v>
      </c>
      <c r="F141" s="10"/>
      <c r="G141" s="10">
        <v>1</v>
      </c>
      <c r="H141" s="10" t="s">
        <v>10</v>
      </c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4.25" customHeight="1" x14ac:dyDescent="0.3">
      <c r="A142" s="8"/>
      <c r="B142" s="38">
        <v>45539</v>
      </c>
      <c r="C142" s="39" t="s">
        <v>83</v>
      </c>
      <c r="D142" s="9" t="s">
        <v>20</v>
      </c>
      <c r="E142" s="11" t="s">
        <v>84</v>
      </c>
      <c r="F142" s="10"/>
      <c r="G142" s="10">
        <v>5</v>
      </c>
      <c r="H142" s="10" t="s">
        <v>10</v>
      </c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4.25" customHeight="1" x14ac:dyDescent="0.3">
      <c r="A143" s="8"/>
      <c r="B143" s="38">
        <v>45539</v>
      </c>
      <c r="C143" s="39" t="s">
        <v>90</v>
      </c>
      <c r="D143" s="9" t="s">
        <v>20</v>
      </c>
      <c r="E143" s="11" t="s">
        <v>91</v>
      </c>
      <c r="F143" s="10">
        <v>7</v>
      </c>
      <c r="G143" s="10"/>
      <c r="H143" s="10" t="s">
        <v>18</v>
      </c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4.25" customHeight="1" x14ac:dyDescent="0.3">
      <c r="A144" s="8"/>
      <c r="B144" s="38">
        <v>45540</v>
      </c>
      <c r="C144" s="9" t="s">
        <v>7</v>
      </c>
      <c r="D144" s="9" t="s">
        <v>8</v>
      </c>
      <c r="E144" s="11" t="s">
        <v>9</v>
      </c>
      <c r="F144" s="10"/>
      <c r="G144" s="10">
        <v>1</v>
      </c>
      <c r="H144" s="10" t="s">
        <v>10</v>
      </c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4.25" customHeight="1" x14ac:dyDescent="0.3">
      <c r="A145" s="8"/>
      <c r="B145" s="38">
        <v>45540</v>
      </c>
      <c r="C145" s="9" t="s">
        <v>39</v>
      </c>
      <c r="D145" s="40" t="s">
        <v>20</v>
      </c>
      <c r="E145" s="41" t="s">
        <v>40</v>
      </c>
      <c r="F145" s="10"/>
      <c r="G145" s="10">
        <v>3.3</v>
      </c>
      <c r="H145" s="10" t="s">
        <v>10</v>
      </c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4.25" customHeight="1" x14ac:dyDescent="0.3">
      <c r="A146" s="8"/>
      <c r="B146" s="38">
        <v>45540</v>
      </c>
      <c r="C146" s="9" t="s">
        <v>41</v>
      </c>
      <c r="D146" s="9" t="s">
        <v>20</v>
      </c>
      <c r="E146" s="11" t="s">
        <v>42</v>
      </c>
      <c r="F146" s="10"/>
      <c r="G146" s="10">
        <v>2</v>
      </c>
      <c r="H146" s="10" t="s">
        <v>10</v>
      </c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4.25" customHeight="1" x14ac:dyDescent="0.3">
      <c r="A147" s="8"/>
      <c r="B147" s="38">
        <v>45540</v>
      </c>
      <c r="C147" s="9" t="s">
        <v>30</v>
      </c>
      <c r="D147" s="9" t="s">
        <v>8</v>
      </c>
      <c r="E147" s="11" t="s">
        <v>31</v>
      </c>
      <c r="F147" s="10"/>
      <c r="G147" s="10">
        <v>1</v>
      </c>
      <c r="H147" s="10" t="s">
        <v>10</v>
      </c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4.25" customHeight="1" x14ac:dyDescent="0.3">
      <c r="A148" s="8"/>
      <c r="B148" s="38">
        <v>45540</v>
      </c>
      <c r="C148" s="9" t="s">
        <v>43</v>
      </c>
      <c r="D148" s="9" t="s">
        <v>20</v>
      </c>
      <c r="E148" s="11" t="s">
        <v>44</v>
      </c>
      <c r="F148" s="10"/>
      <c r="G148" s="10">
        <v>1.5</v>
      </c>
      <c r="H148" s="10" t="s">
        <v>10</v>
      </c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4.25" customHeight="1" x14ac:dyDescent="0.3">
      <c r="A149" s="8"/>
      <c r="B149" s="38">
        <v>45540</v>
      </c>
      <c r="C149" s="9" t="s">
        <v>7</v>
      </c>
      <c r="D149" s="9" t="s">
        <v>8</v>
      </c>
      <c r="E149" s="11" t="s">
        <v>9</v>
      </c>
      <c r="F149" s="10">
        <v>2</v>
      </c>
      <c r="G149" s="10"/>
      <c r="H149" s="10" t="s">
        <v>18</v>
      </c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4.25" customHeight="1" x14ac:dyDescent="0.3">
      <c r="A150" s="8"/>
      <c r="B150" s="38">
        <v>45540</v>
      </c>
      <c r="C150" s="9" t="s">
        <v>73</v>
      </c>
      <c r="D150" s="9" t="s">
        <v>71</v>
      </c>
      <c r="E150" s="11" t="s">
        <v>74</v>
      </c>
      <c r="F150" s="10">
        <v>2</v>
      </c>
      <c r="G150" s="10"/>
      <c r="H150" s="10" t="s">
        <v>18</v>
      </c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4.25" customHeight="1" x14ac:dyDescent="0.3">
      <c r="A151" s="8"/>
      <c r="B151" s="38">
        <v>45540</v>
      </c>
      <c r="C151" s="9" t="s">
        <v>70</v>
      </c>
      <c r="D151" s="9" t="s">
        <v>71</v>
      </c>
      <c r="E151" s="11" t="s">
        <v>72</v>
      </c>
      <c r="F151" s="10">
        <v>2</v>
      </c>
      <c r="G151" s="10"/>
      <c r="H151" s="10" t="s">
        <v>18</v>
      </c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4.25" customHeight="1" x14ac:dyDescent="0.3">
      <c r="A152" s="8"/>
      <c r="B152" s="38">
        <v>45540</v>
      </c>
      <c r="C152" s="18" t="s">
        <v>63</v>
      </c>
      <c r="D152" s="9" t="s">
        <v>20</v>
      </c>
      <c r="E152" s="11" t="s">
        <v>64</v>
      </c>
      <c r="F152" s="10">
        <v>2.5</v>
      </c>
      <c r="G152" s="10"/>
      <c r="H152" s="10" t="s">
        <v>18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4.25" customHeight="1" x14ac:dyDescent="0.3">
      <c r="A153" s="8"/>
      <c r="B153" s="38">
        <v>45543</v>
      </c>
      <c r="C153" s="8" t="s">
        <v>93</v>
      </c>
      <c r="D153" s="9" t="s">
        <v>12</v>
      </c>
      <c r="E153" s="11" t="s">
        <v>94</v>
      </c>
      <c r="F153" s="10"/>
      <c r="G153" s="10">
        <v>10</v>
      </c>
      <c r="H153" s="10" t="s">
        <v>10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4.25" customHeight="1" x14ac:dyDescent="0.3">
      <c r="A154" s="8"/>
      <c r="B154" s="38">
        <v>45543</v>
      </c>
      <c r="C154" s="9" t="s">
        <v>55</v>
      </c>
      <c r="D154" s="9" t="s">
        <v>12</v>
      </c>
      <c r="E154" s="11" t="s">
        <v>56</v>
      </c>
      <c r="F154" s="10"/>
      <c r="G154" s="10">
        <v>60</v>
      </c>
      <c r="H154" s="10" t="s">
        <v>10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4.25" customHeight="1" x14ac:dyDescent="0.3">
      <c r="A155" s="8"/>
      <c r="B155" s="38">
        <v>45543</v>
      </c>
      <c r="C155" s="9" t="s">
        <v>45</v>
      </c>
      <c r="D155" s="9" t="s">
        <v>12</v>
      </c>
      <c r="E155" s="11" t="s">
        <v>59</v>
      </c>
      <c r="F155" s="10"/>
      <c r="G155" s="10">
        <v>80</v>
      </c>
      <c r="H155" s="10" t="s">
        <v>10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4.25" customHeight="1" x14ac:dyDescent="0.3">
      <c r="A156" s="8"/>
      <c r="B156" s="38">
        <v>45543</v>
      </c>
      <c r="C156" s="9" t="s">
        <v>57</v>
      </c>
      <c r="D156" s="9" t="s">
        <v>12</v>
      </c>
      <c r="E156" s="11" t="s">
        <v>58</v>
      </c>
      <c r="F156" s="10"/>
      <c r="G156" s="10">
        <v>80</v>
      </c>
      <c r="H156" s="10" t="s">
        <v>10</v>
      </c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4.25" customHeight="1" x14ac:dyDescent="0.3">
      <c r="A157" s="8"/>
      <c r="B157" s="38">
        <v>45543</v>
      </c>
      <c r="C157" s="9" t="s">
        <v>55</v>
      </c>
      <c r="D157" s="9" t="s">
        <v>12</v>
      </c>
      <c r="E157" s="11" t="s">
        <v>56</v>
      </c>
      <c r="F157" s="10"/>
      <c r="G157" s="10">
        <v>60</v>
      </c>
      <c r="H157" s="10" t="s">
        <v>10</v>
      </c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4.25" customHeight="1" x14ac:dyDescent="0.3">
      <c r="A158" s="8"/>
      <c r="B158" s="38">
        <v>45543</v>
      </c>
      <c r="C158" s="26" t="s">
        <v>24</v>
      </c>
      <c r="D158" s="9" t="s">
        <v>12</v>
      </c>
      <c r="E158" s="11" t="s">
        <v>25</v>
      </c>
      <c r="F158" s="10"/>
      <c r="G158" s="10">
        <v>20</v>
      </c>
      <c r="H158" s="10" t="s">
        <v>10</v>
      </c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4.25" customHeight="1" x14ac:dyDescent="0.3">
      <c r="A159" s="8"/>
      <c r="B159" s="38">
        <v>45543</v>
      </c>
      <c r="C159" s="9" t="s">
        <v>22</v>
      </c>
      <c r="D159" s="9" t="s">
        <v>12</v>
      </c>
      <c r="E159" s="11" t="s">
        <v>23</v>
      </c>
      <c r="F159" s="10">
        <v>15</v>
      </c>
      <c r="G159" s="10"/>
      <c r="H159" s="10" t="s">
        <v>18</v>
      </c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4.25" customHeight="1" x14ac:dyDescent="0.3">
      <c r="A160" s="8"/>
      <c r="B160" s="38">
        <v>45543</v>
      </c>
      <c r="C160" s="9" t="s">
        <v>43</v>
      </c>
      <c r="D160" s="9" t="s">
        <v>20</v>
      </c>
      <c r="E160" s="11" t="s">
        <v>44</v>
      </c>
      <c r="F160" s="10">
        <v>1.5</v>
      </c>
      <c r="G160" s="10"/>
      <c r="H160" s="10" t="s">
        <v>18</v>
      </c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4.25" customHeight="1" x14ac:dyDescent="0.3">
      <c r="A161" s="8"/>
      <c r="B161" s="38">
        <v>45543</v>
      </c>
      <c r="C161" s="9" t="s">
        <v>95</v>
      </c>
      <c r="D161" s="9" t="s">
        <v>12</v>
      </c>
      <c r="E161" s="11" t="s">
        <v>96</v>
      </c>
      <c r="F161" s="10">
        <v>71</v>
      </c>
      <c r="G161" s="10"/>
      <c r="H161" s="10" t="s">
        <v>18</v>
      </c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4.25" customHeight="1" x14ac:dyDescent="0.3">
      <c r="A162" s="8"/>
      <c r="B162" s="38">
        <v>45543</v>
      </c>
      <c r="C162" s="9" t="s">
        <v>51</v>
      </c>
      <c r="D162" s="9" t="s">
        <v>20</v>
      </c>
      <c r="E162" s="11" t="s">
        <v>52</v>
      </c>
      <c r="F162" s="10">
        <v>4.8</v>
      </c>
      <c r="G162" s="10"/>
      <c r="H162" s="10" t="s">
        <v>18</v>
      </c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4.25" customHeight="1" x14ac:dyDescent="0.3">
      <c r="A163" s="8"/>
      <c r="B163" s="38">
        <v>45543</v>
      </c>
      <c r="C163" s="9" t="s">
        <v>61</v>
      </c>
      <c r="D163" s="9" t="s">
        <v>20</v>
      </c>
      <c r="E163" s="11" t="s">
        <v>62</v>
      </c>
      <c r="F163" s="10">
        <v>6.25</v>
      </c>
      <c r="G163" s="10"/>
      <c r="H163" s="10" t="s">
        <v>18</v>
      </c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4.25" customHeight="1" x14ac:dyDescent="0.3">
      <c r="A164" s="8"/>
      <c r="B164" s="38">
        <v>45547</v>
      </c>
      <c r="C164" s="39" t="s">
        <v>83</v>
      </c>
      <c r="D164" s="9" t="s">
        <v>20</v>
      </c>
      <c r="E164" s="11" t="s">
        <v>84</v>
      </c>
      <c r="F164" s="10"/>
      <c r="G164" s="10">
        <v>2.5</v>
      </c>
      <c r="H164" s="10" t="s">
        <v>10</v>
      </c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4.25" customHeight="1" x14ac:dyDescent="0.3">
      <c r="A165" s="8"/>
      <c r="B165" s="38">
        <v>45547</v>
      </c>
      <c r="C165" s="9" t="s">
        <v>75</v>
      </c>
      <c r="D165" s="9" t="s">
        <v>8</v>
      </c>
      <c r="E165" s="11" t="s">
        <v>76</v>
      </c>
      <c r="F165" s="10"/>
      <c r="G165" s="10">
        <v>1</v>
      </c>
      <c r="H165" s="10" t="s">
        <v>10</v>
      </c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4.25" customHeight="1" x14ac:dyDescent="0.3">
      <c r="A166" s="8"/>
      <c r="B166" s="38">
        <v>45547</v>
      </c>
      <c r="C166" s="9" t="s">
        <v>28</v>
      </c>
      <c r="D166" s="9" t="s">
        <v>8</v>
      </c>
      <c r="E166" s="11" t="s">
        <v>29</v>
      </c>
      <c r="F166" s="10"/>
      <c r="G166" s="10">
        <v>3</v>
      </c>
      <c r="H166" s="10" t="s">
        <v>10</v>
      </c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4.25" customHeight="1" x14ac:dyDescent="0.3">
      <c r="A167" s="8"/>
      <c r="B167" s="38">
        <v>45547</v>
      </c>
      <c r="C167" s="20" t="s">
        <v>188</v>
      </c>
      <c r="D167" s="9" t="s">
        <v>12</v>
      </c>
      <c r="E167" s="11" t="s">
        <v>92</v>
      </c>
      <c r="F167" s="10"/>
      <c r="G167" s="10">
        <v>110</v>
      </c>
      <c r="H167" s="10" t="s">
        <v>10</v>
      </c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4.25" customHeight="1" x14ac:dyDescent="0.3">
      <c r="A168" s="8"/>
      <c r="B168" s="38">
        <v>45547</v>
      </c>
      <c r="C168" s="9" t="s">
        <v>77</v>
      </c>
      <c r="D168" s="9" t="s">
        <v>20</v>
      </c>
      <c r="E168" s="11" t="s">
        <v>78</v>
      </c>
      <c r="F168" s="10"/>
      <c r="G168" s="10">
        <v>0.49</v>
      </c>
      <c r="H168" s="10" t="s">
        <v>10</v>
      </c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4.25" customHeight="1" x14ac:dyDescent="0.3">
      <c r="A169" s="8"/>
      <c r="B169" s="38">
        <v>45547</v>
      </c>
      <c r="C169" s="9" t="s">
        <v>73</v>
      </c>
      <c r="D169" s="9" t="s">
        <v>71</v>
      </c>
      <c r="E169" s="11" t="s">
        <v>74</v>
      </c>
      <c r="F169" s="10"/>
      <c r="G169" s="10">
        <v>1</v>
      </c>
      <c r="H169" s="10" t="s">
        <v>10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4.25" customHeight="1" x14ac:dyDescent="0.3">
      <c r="A170" s="8"/>
      <c r="B170" s="38">
        <v>45547</v>
      </c>
      <c r="C170" s="9" t="s">
        <v>45</v>
      </c>
      <c r="D170" s="9" t="s">
        <v>12</v>
      </c>
      <c r="E170" s="11" t="s">
        <v>59</v>
      </c>
      <c r="F170" s="10"/>
      <c r="G170" s="10">
        <v>80</v>
      </c>
      <c r="H170" s="10" t="s">
        <v>10</v>
      </c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4.25" customHeight="1" x14ac:dyDescent="0.3">
      <c r="A171" s="8"/>
      <c r="B171" s="38">
        <v>45547</v>
      </c>
      <c r="C171" s="9" t="s">
        <v>39</v>
      </c>
      <c r="D171" s="40" t="s">
        <v>20</v>
      </c>
      <c r="E171" s="41" t="s">
        <v>40</v>
      </c>
      <c r="F171" s="10"/>
      <c r="G171" s="10">
        <v>11.6</v>
      </c>
      <c r="H171" s="10" t="s">
        <v>10</v>
      </c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4.25" customHeight="1" x14ac:dyDescent="0.3">
      <c r="A172" s="8"/>
      <c r="B172" s="38">
        <v>45547</v>
      </c>
      <c r="C172" s="9" t="s">
        <v>41</v>
      </c>
      <c r="D172" s="9" t="s">
        <v>20</v>
      </c>
      <c r="E172" s="11" t="s">
        <v>42</v>
      </c>
      <c r="F172" s="10"/>
      <c r="G172" s="10">
        <v>6.6</v>
      </c>
      <c r="H172" s="10" t="s">
        <v>10</v>
      </c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4.25" customHeight="1" x14ac:dyDescent="0.3">
      <c r="A173" s="8"/>
      <c r="B173" s="38">
        <v>45547</v>
      </c>
      <c r="C173" s="9" t="s">
        <v>80</v>
      </c>
      <c r="D173" s="9" t="s">
        <v>71</v>
      </c>
      <c r="E173" s="11" t="s">
        <v>81</v>
      </c>
      <c r="F173" s="10"/>
      <c r="G173" s="10">
        <v>1</v>
      </c>
      <c r="H173" s="10" t="s">
        <v>10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4.25" customHeight="1" x14ac:dyDescent="0.3">
      <c r="A174" s="8"/>
      <c r="B174" s="38">
        <v>45547</v>
      </c>
      <c r="C174" s="9" t="s">
        <v>49</v>
      </c>
      <c r="D174" s="9" t="s">
        <v>20</v>
      </c>
      <c r="E174" s="11" t="s">
        <v>50</v>
      </c>
      <c r="F174" s="10"/>
      <c r="G174" s="10">
        <v>2.5</v>
      </c>
      <c r="H174" s="10" t="s">
        <v>10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4.25" customHeight="1" x14ac:dyDescent="0.3">
      <c r="A175" s="8"/>
      <c r="B175" s="38">
        <v>45547</v>
      </c>
      <c r="C175" s="9" t="s">
        <v>47</v>
      </c>
      <c r="D175" s="9" t="s">
        <v>20</v>
      </c>
      <c r="E175" s="11" t="s">
        <v>48</v>
      </c>
      <c r="F175" s="10"/>
      <c r="G175" s="10">
        <v>2.7</v>
      </c>
      <c r="H175" s="10" t="s">
        <v>10</v>
      </c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4.25" customHeight="1" x14ac:dyDescent="0.3">
      <c r="A176" s="8"/>
      <c r="B176" s="38">
        <v>45547</v>
      </c>
      <c r="C176" s="9" t="s">
        <v>70</v>
      </c>
      <c r="D176" s="9" t="s">
        <v>71</v>
      </c>
      <c r="E176" s="11" t="s">
        <v>72</v>
      </c>
      <c r="F176" s="10"/>
      <c r="G176" s="10">
        <v>1</v>
      </c>
      <c r="H176" s="10" t="s">
        <v>10</v>
      </c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4.25" customHeight="1" x14ac:dyDescent="0.3">
      <c r="A177" s="8"/>
      <c r="B177" s="38">
        <v>45547</v>
      </c>
      <c r="C177" s="18" t="s">
        <v>66</v>
      </c>
      <c r="D177" s="9" t="s">
        <v>20</v>
      </c>
      <c r="E177" s="11" t="s">
        <v>67</v>
      </c>
      <c r="F177" s="10"/>
      <c r="G177" s="10">
        <v>3.3</v>
      </c>
      <c r="H177" s="10" t="s">
        <v>10</v>
      </c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4.25" customHeight="1" x14ac:dyDescent="0.3">
      <c r="A178" s="8"/>
      <c r="B178" s="38">
        <v>45547</v>
      </c>
      <c r="C178" s="9" t="s">
        <v>11</v>
      </c>
      <c r="D178" s="9" t="s">
        <v>12</v>
      </c>
      <c r="E178" s="11" t="s">
        <v>13</v>
      </c>
      <c r="F178" s="10"/>
      <c r="G178" s="10">
        <v>24</v>
      </c>
      <c r="H178" s="10" t="s">
        <v>10</v>
      </c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4.25" customHeight="1" x14ac:dyDescent="0.3">
      <c r="A179" s="8"/>
      <c r="B179" s="38">
        <v>45547</v>
      </c>
      <c r="C179" s="9" t="s">
        <v>79</v>
      </c>
      <c r="D179" s="9" t="s">
        <v>20</v>
      </c>
      <c r="E179" s="11" t="s">
        <v>82</v>
      </c>
      <c r="F179" s="10"/>
      <c r="G179" s="10">
        <v>4.3</v>
      </c>
      <c r="H179" s="10" t="s">
        <v>10</v>
      </c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4.25" customHeight="1" x14ac:dyDescent="0.3">
      <c r="A180" s="8"/>
      <c r="B180" s="38">
        <v>45547</v>
      </c>
      <c r="C180" s="39" t="s">
        <v>83</v>
      </c>
      <c r="D180" s="9" t="s">
        <v>20</v>
      </c>
      <c r="E180" s="11" t="s">
        <v>84</v>
      </c>
      <c r="F180" s="10"/>
      <c r="G180" s="10">
        <v>5</v>
      </c>
      <c r="H180" s="10" t="s">
        <v>10</v>
      </c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4.25" customHeight="1" x14ac:dyDescent="0.3">
      <c r="A181" s="8"/>
      <c r="B181" s="38">
        <v>45547</v>
      </c>
      <c r="C181" s="39" t="s">
        <v>90</v>
      </c>
      <c r="D181" s="9" t="s">
        <v>20</v>
      </c>
      <c r="E181" s="11" t="s">
        <v>91</v>
      </c>
      <c r="F181" s="10"/>
      <c r="G181" s="10">
        <v>2</v>
      </c>
      <c r="H181" s="10" t="s">
        <v>10</v>
      </c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4.25" customHeight="1" x14ac:dyDescent="0.3">
      <c r="A182" s="8"/>
      <c r="B182" s="38">
        <v>45547</v>
      </c>
      <c r="C182" s="32" t="s">
        <v>87</v>
      </c>
      <c r="D182" s="9" t="s">
        <v>20</v>
      </c>
      <c r="E182" s="11" t="s">
        <v>88</v>
      </c>
      <c r="F182" s="10"/>
      <c r="G182" s="10">
        <v>1</v>
      </c>
      <c r="H182" s="10" t="s">
        <v>10</v>
      </c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4.25" customHeight="1" x14ac:dyDescent="0.3">
      <c r="A183" s="8"/>
      <c r="B183" s="38">
        <v>45555</v>
      </c>
      <c r="C183" s="9" t="s">
        <v>28</v>
      </c>
      <c r="D183" s="9" t="s">
        <v>8</v>
      </c>
      <c r="E183" s="11" t="s">
        <v>29</v>
      </c>
      <c r="F183" s="10">
        <v>2</v>
      </c>
      <c r="G183" s="10"/>
      <c r="H183" s="10" t="s">
        <v>18</v>
      </c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4.25" customHeight="1" x14ac:dyDescent="0.3">
      <c r="A184" s="8"/>
      <c r="B184" s="38">
        <v>45555</v>
      </c>
      <c r="C184" s="9" t="s">
        <v>7</v>
      </c>
      <c r="D184" s="9" t="s">
        <v>8</v>
      </c>
      <c r="E184" s="11" t="s">
        <v>9</v>
      </c>
      <c r="F184" s="10"/>
      <c r="G184" s="10">
        <v>1</v>
      </c>
      <c r="H184" s="10" t="s">
        <v>10</v>
      </c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4.25" customHeight="1" x14ac:dyDescent="0.3">
      <c r="A185" s="8"/>
      <c r="B185" s="38">
        <v>45555</v>
      </c>
      <c r="C185" s="9" t="s">
        <v>75</v>
      </c>
      <c r="D185" s="9" t="s">
        <v>8</v>
      </c>
      <c r="E185" s="11" t="s">
        <v>76</v>
      </c>
      <c r="F185" s="10">
        <v>1</v>
      </c>
      <c r="G185" s="10"/>
      <c r="H185" s="10" t="s">
        <v>18</v>
      </c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4.25" customHeight="1" x14ac:dyDescent="0.3">
      <c r="A186" s="8"/>
      <c r="B186" s="38">
        <v>45555</v>
      </c>
      <c r="C186" s="9" t="s">
        <v>22</v>
      </c>
      <c r="D186" s="9" t="s">
        <v>12</v>
      </c>
      <c r="E186" s="11" t="s">
        <v>23</v>
      </c>
      <c r="F186" s="10"/>
      <c r="G186" s="10">
        <v>15</v>
      </c>
      <c r="H186" s="10" t="s">
        <v>10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4.25" customHeight="1" x14ac:dyDescent="0.3">
      <c r="A187" s="8"/>
      <c r="B187" s="38">
        <v>45555</v>
      </c>
      <c r="C187" s="9" t="s">
        <v>188</v>
      </c>
      <c r="D187" s="9" t="s">
        <v>12</v>
      </c>
      <c r="E187" s="11" t="s">
        <v>92</v>
      </c>
      <c r="F187" s="10"/>
      <c r="G187" s="10">
        <f>402-312</f>
        <v>90</v>
      </c>
      <c r="H187" s="10" t="s">
        <v>10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4.25" customHeight="1" x14ac:dyDescent="0.3">
      <c r="A188" s="8"/>
      <c r="B188" s="38">
        <v>45555</v>
      </c>
      <c r="C188" s="9" t="s">
        <v>43</v>
      </c>
      <c r="D188" s="9" t="s">
        <v>20</v>
      </c>
      <c r="E188" s="11" t="s">
        <v>44</v>
      </c>
      <c r="F188" s="10">
        <f>12+7</f>
        <v>19</v>
      </c>
      <c r="G188" s="10"/>
      <c r="H188" s="10" t="s">
        <v>18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4.25" customHeight="1" x14ac:dyDescent="0.3">
      <c r="A189" s="8"/>
      <c r="B189" s="38">
        <v>45555</v>
      </c>
      <c r="C189" s="9" t="s">
        <v>39</v>
      </c>
      <c r="D189" s="9" t="s">
        <v>20</v>
      </c>
      <c r="E189" s="11" t="s">
        <v>40</v>
      </c>
      <c r="F189" s="10">
        <v>6.5</v>
      </c>
      <c r="G189" s="10"/>
      <c r="H189" s="10" t="s">
        <v>18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4.25" customHeight="1" x14ac:dyDescent="0.3">
      <c r="A190" s="8"/>
      <c r="B190" s="38">
        <v>45555</v>
      </c>
      <c r="C190" s="9" t="s">
        <v>37</v>
      </c>
      <c r="D190" s="9" t="s">
        <v>12</v>
      </c>
      <c r="E190" s="11" t="s">
        <v>38</v>
      </c>
      <c r="F190" s="10"/>
      <c r="G190" s="10">
        <v>1</v>
      </c>
      <c r="H190" s="10" t="s">
        <v>10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4.25" customHeight="1" x14ac:dyDescent="0.3">
      <c r="A191" s="8"/>
      <c r="B191" s="38">
        <v>45555</v>
      </c>
      <c r="C191" s="9" t="s">
        <v>51</v>
      </c>
      <c r="D191" s="9" t="s">
        <v>20</v>
      </c>
      <c r="E191" s="11" t="s">
        <v>52</v>
      </c>
      <c r="F191" s="10"/>
      <c r="G191" s="10">
        <v>14.3</v>
      </c>
      <c r="H191" s="10" t="s">
        <v>10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4.25" customHeight="1" x14ac:dyDescent="0.3">
      <c r="A192" s="8"/>
      <c r="B192" s="38">
        <v>45555</v>
      </c>
      <c r="C192" s="8" t="s">
        <v>93</v>
      </c>
      <c r="D192" s="9" t="s">
        <v>12</v>
      </c>
      <c r="E192" s="11" t="s">
        <v>94</v>
      </c>
      <c r="F192" s="10"/>
      <c r="G192" s="10">
        <v>7</v>
      </c>
      <c r="H192" s="10" t="s">
        <v>10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4.25" customHeight="1" x14ac:dyDescent="0.3">
      <c r="A193" s="8"/>
      <c r="B193" s="38">
        <v>45555</v>
      </c>
      <c r="C193" s="9" t="s">
        <v>49</v>
      </c>
      <c r="D193" s="9" t="s">
        <v>20</v>
      </c>
      <c r="E193" s="11" t="s">
        <v>50</v>
      </c>
      <c r="F193" s="10"/>
      <c r="G193" s="10">
        <v>1</v>
      </c>
      <c r="H193" s="10" t="s">
        <v>10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4.25" customHeight="1" x14ac:dyDescent="0.3">
      <c r="A194" s="8"/>
      <c r="B194" s="38">
        <v>45555</v>
      </c>
      <c r="C194" s="9" t="s">
        <v>95</v>
      </c>
      <c r="D194" s="9" t="s">
        <v>12</v>
      </c>
      <c r="E194" s="11" t="s">
        <v>96</v>
      </c>
      <c r="F194" s="10"/>
      <c r="G194" s="10">
        <f>71-26</f>
        <v>45</v>
      </c>
      <c r="H194" s="10" t="s">
        <v>10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4.25" customHeight="1" x14ac:dyDescent="0.3">
      <c r="A195" s="8"/>
      <c r="B195" s="38">
        <v>45555</v>
      </c>
      <c r="C195" s="9" t="s">
        <v>55</v>
      </c>
      <c r="D195" s="9" t="s">
        <v>12</v>
      </c>
      <c r="E195" s="11" t="s">
        <v>56</v>
      </c>
      <c r="F195" s="10">
        <v>42</v>
      </c>
      <c r="G195" s="10"/>
      <c r="H195" s="10" t="s">
        <v>18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4.25" customHeight="1" x14ac:dyDescent="0.3">
      <c r="A196" s="8"/>
      <c r="B196" s="38">
        <v>45555</v>
      </c>
      <c r="C196" s="9" t="s">
        <v>57</v>
      </c>
      <c r="D196" s="9" t="s">
        <v>12</v>
      </c>
      <c r="E196" s="11" t="s">
        <v>58</v>
      </c>
      <c r="F196" s="10"/>
      <c r="G196" s="10">
        <f>400-320</f>
        <v>80</v>
      </c>
      <c r="H196" s="10" t="s">
        <v>10</v>
      </c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4.25" customHeight="1" x14ac:dyDescent="0.3">
      <c r="A197" s="8"/>
      <c r="B197" s="38">
        <v>45555</v>
      </c>
      <c r="C197" s="9" t="s">
        <v>79</v>
      </c>
      <c r="D197" s="9" t="s">
        <v>20</v>
      </c>
      <c r="E197" s="11" t="s">
        <v>82</v>
      </c>
      <c r="F197" s="10">
        <v>7</v>
      </c>
      <c r="G197" s="10"/>
      <c r="H197" s="10" t="s">
        <v>18</v>
      </c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4.25" customHeight="1" x14ac:dyDescent="0.3">
      <c r="A198" s="8"/>
      <c r="B198" s="38">
        <v>45555</v>
      </c>
      <c r="C198" s="9" t="s">
        <v>16</v>
      </c>
      <c r="D198" s="9" t="s">
        <v>12</v>
      </c>
      <c r="E198" s="11" t="s">
        <v>17</v>
      </c>
      <c r="F198" s="10"/>
      <c r="G198" s="10">
        <v>1</v>
      </c>
      <c r="H198" s="10" t="s">
        <v>10</v>
      </c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4.25" customHeight="1" x14ac:dyDescent="0.3">
      <c r="A199" s="8"/>
      <c r="B199" s="38">
        <v>45555</v>
      </c>
      <c r="C199" s="9" t="s">
        <v>24</v>
      </c>
      <c r="D199" s="9" t="s">
        <v>12</v>
      </c>
      <c r="E199" s="11" t="s">
        <v>25</v>
      </c>
      <c r="F199" s="10">
        <v>10</v>
      </c>
      <c r="G199" s="10"/>
      <c r="H199" s="10" t="s">
        <v>18</v>
      </c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4.25" customHeight="1" x14ac:dyDescent="0.3">
      <c r="A200" s="8"/>
      <c r="B200" s="38">
        <v>45555</v>
      </c>
      <c r="C200" s="26" t="s">
        <v>87</v>
      </c>
      <c r="D200" s="9" t="s">
        <v>20</v>
      </c>
      <c r="E200" s="11" t="s">
        <v>88</v>
      </c>
      <c r="F200" s="10"/>
      <c r="G200" s="10">
        <v>1</v>
      </c>
      <c r="H200" s="10" t="s">
        <v>10</v>
      </c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4.25" customHeight="1" x14ac:dyDescent="0.3">
      <c r="A201" s="8"/>
      <c r="B201" s="38">
        <v>45555</v>
      </c>
      <c r="C201" s="39" t="s">
        <v>90</v>
      </c>
      <c r="D201" s="9" t="s">
        <v>20</v>
      </c>
      <c r="E201" s="11" t="s">
        <v>91</v>
      </c>
      <c r="F201" s="10"/>
      <c r="G201" s="10">
        <f>13-11.3</f>
        <v>1.6999999999999993</v>
      </c>
      <c r="H201" s="10" t="s">
        <v>10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4.25" customHeight="1" x14ac:dyDescent="0.3">
      <c r="A202" s="8"/>
      <c r="B202" s="38">
        <v>45559</v>
      </c>
      <c r="C202" s="9" t="s">
        <v>28</v>
      </c>
      <c r="D202" s="9" t="s">
        <v>8</v>
      </c>
      <c r="E202" s="11" t="s">
        <v>29</v>
      </c>
      <c r="F202" s="10">
        <v>2</v>
      </c>
      <c r="G202" s="10"/>
      <c r="H202" s="10" t="s">
        <v>18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4.25" customHeight="1" x14ac:dyDescent="0.3">
      <c r="A203" s="8"/>
      <c r="B203" s="38">
        <v>45559</v>
      </c>
      <c r="C203" s="9" t="s">
        <v>51</v>
      </c>
      <c r="D203" s="9" t="s">
        <v>20</v>
      </c>
      <c r="E203" s="11" t="s">
        <v>52</v>
      </c>
      <c r="F203" s="10">
        <v>19.7</v>
      </c>
      <c r="G203" s="10"/>
      <c r="H203" s="10" t="s">
        <v>18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4.25" customHeight="1" x14ac:dyDescent="0.3">
      <c r="A204" s="8"/>
      <c r="B204" s="38">
        <v>45559</v>
      </c>
      <c r="C204" s="9" t="s">
        <v>75</v>
      </c>
      <c r="D204" s="9" t="s">
        <v>8</v>
      </c>
      <c r="E204" s="11" t="s">
        <v>76</v>
      </c>
      <c r="F204" s="10">
        <v>1</v>
      </c>
      <c r="G204" s="10"/>
      <c r="H204" s="10" t="s">
        <v>18</v>
      </c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4.25" customHeight="1" x14ac:dyDescent="0.3">
      <c r="A205" s="8"/>
      <c r="B205" s="38">
        <v>45559</v>
      </c>
      <c r="C205" s="9" t="s">
        <v>28</v>
      </c>
      <c r="D205" s="9" t="s">
        <v>8</v>
      </c>
      <c r="E205" s="11" t="s">
        <v>29</v>
      </c>
      <c r="F205" s="10"/>
      <c r="G205" s="10">
        <v>1</v>
      </c>
      <c r="H205" s="10" t="s">
        <v>10</v>
      </c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4.25" customHeight="1" x14ac:dyDescent="0.3">
      <c r="A206" s="8"/>
      <c r="B206" s="38">
        <v>45560</v>
      </c>
      <c r="C206" s="9" t="s">
        <v>75</v>
      </c>
      <c r="D206" s="9" t="s">
        <v>8</v>
      </c>
      <c r="E206" s="11" t="s">
        <v>76</v>
      </c>
      <c r="F206" s="10">
        <v>0</v>
      </c>
      <c r="G206" s="10">
        <v>3</v>
      </c>
      <c r="H206" s="10" t="s">
        <v>10</v>
      </c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4.25" customHeight="1" x14ac:dyDescent="0.3">
      <c r="A207" s="8"/>
      <c r="B207" s="38">
        <v>45560</v>
      </c>
      <c r="C207" s="9" t="s">
        <v>43</v>
      </c>
      <c r="D207" s="9" t="s">
        <v>20</v>
      </c>
      <c r="E207" s="11" t="s">
        <v>44</v>
      </c>
      <c r="F207" s="10"/>
      <c r="G207" s="10">
        <v>0.3</v>
      </c>
      <c r="H207" s="10" t="s">
        <v>10</v>
      </c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4.25" customHeight="1" x14ac:dyDescent="0.3">
      <c r="A208" s="8"/>
      <c r="B208" s="38">
        <v>45560</v>
      </c>
      <c r="C208" s="9" t="s">
        <v>188</v>
      </c>
      <c r="D208" s="9" t="s">
        <v>12</v>
      </c>
      <c r="E208" s="11" t="s">
        <v>92</v>
      </c>
      <c r="F208" s="10"/>
      <c r="G208" s="10">
        <f>312-222</f>
        <v>90</v>
      </c>
      <c r="H208" s="10" t="s">
        <v>10</v>
      </c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4.25" customHeight="1" x14ac:dyDescent="0.3">
      <c r="A209" s="8"/>
      <c r="B209" s="38">
        <v>45560</v>
      </c>
      <c r="C209" s="9" t="s">
        <v>77</v>
      </c>
      <c r="D209" s="9" t="s">
        <v>20</v>
      </c>
      <c r="E209" s="11" t="s">
        <v>78</v>
      </c>
      <c r="F209" s="10"/>
      <c r="G209" s="10">
        <f>1.6-0.3</f>
        <v>1.3</v>
      </c>
      <c r="H209" s="10" t="s">
        <v>10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4.25" customHeight="1" x14ac:dyDescent="0.3">
      <c r="A210" s="8"/>
      <c r="B210" s="38">
        <v>45560</v>
      </c>
      <c r="C210" s="9" t="s">
        <v>73</v>
      </c>
      <c r="D210" s="9" t="s">
        <v>71</v>
      </c>
      <c r="E210" s="11" t="s">
        <v>74</v>
      </c>
      <c r="F210" s="10"/>
      <c r="G210" s="10">
        <v>1</v>
      </c>
      <c r="H210" s="10" t="s">
        <v>10</v>
      </c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4.25" customHeight="1" x14ac:dyDescent="0.3">
      <c r="A211" s="8"/>
      <c r="B211" s="38">
        <v>45560</v>
      </c>
      <c r="C211" s="9" t="s">
        <v>39</v>
      </c>
      <c r="D211" s="9" t="s">
        <v>20</v>
      </c>
      <c r="E211" s="11" t="s">
        <v>40</v>
      </c>
      <c r="F211" s="10"/>
      <c r="G211" s="10">
        <f>7.7-2</f>
        <v>5.7</v>
      </c>
      <c r="H211" s="10" t="s">
        <v>10</v>
      </c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4.25" customHeight="1" x14ac:dyDescent="0.3">
      <c r="A212" s="8"/>
      <c r="B212" s="38">
        <v>45560</v>
      </c>
      <c r="C212" s="9" t="s">
        <v>41</v>
      </c>
      <c r="D212" s="9" t="s">
        <v>20</v>
      </c>
      <c r="E212" s="11" t="s">
        <v>42</v>
      </c>
      <c r="F212" s="10"/>
      <c r="G212" s="10">
        <v>3.4</v>
      </c>
      <c r="H212" s="10" t="s">
        <v>10</v>
      </c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4.25" customHeight="1" x14ac:dyDescent="0.3">
      <c r="A213" s="8"/>
      <c r="B213" s="38">
        <v>45560</v>
      </c>
      <c r="C213" s="9" t="s">
        <v>95</v>
      </c>
      <c r="D213" s="9" t="s">
        <v>12</v>
      </c>
      <c r="E213" s="11" t="s">
        <v>96</v>
      </c>
      <c r="F213" s="10"/>
      <c r="G213" s="10">
        <v>26</v>
      </c>
      <c r="H213" s="10" t="s">
        <v>10</v>
      </c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4.25" customHeight="1" x14ac:dyDescent="0.3">
      <c r="A214" s="8"/>
      <c r="B214" s="38">
        <v>45560</v>
      </c>
      <c r="C214" s="9" t="s">
        <v>70</v>
      </c>
      <c r="D214" s="9" t="s">
        <v>71</v>
      </c>
      <c r="E214" s="11" t="s">
        <v>72</v>
      </c>
      <c r="F214" s="10"/>
      <c r="G214" s="10">
        <v>1</v>
      </c>
      <c r="H214" s="10" t="s">
        <v>10</v>
      </c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4.25" customHeight="1" x14ac:dyDescent="0.3">
      <c r="A215" s="8"/>
      <c r="B215" s="38">
        <v>45560</v>
      </c>
      <c r="C215" s="9" t="s">
        <v>79</v>
      </c>
      <c r="D215" s="9" t="s">
        <v>20</v>
      </c>
      <c r="E215" s="11" t="s">
        <v>82</v>
      </c>
      <c r="F215" s="10"/>
      <c r="G215" s="10">
        <f>7-4.7</f>
        <v>2.2999999999999998</v>
      </c>
      <c r="H215" s="10" t="s">
        <v>10</v>
      </c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4.25" customHeight="1" x14ac:dyDescent="0.3">
      <c r="A216" s="8"/>
      <c r="B216" s="38">
        <v>45560</v>
      </c>
      <c r="C216" s="9" t="s">
        <v>55</v>
      </c>
      <c r="D216" s="9" t="s">
        <v>12</v>
      </c>
      <c r="E216" s="11" t="s">
        <v>56</v>
      </c>
      <c r="F216" s="10">
        <v>960</v>
      </c>
      <c r="G216" s="10"/>
      <c r="H216" s="10" t="s">
        <v>18</v>
      </c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4.25" customHeight="1" x14ac:dyDescent="0.3">
      <c r="A217" s="8"/>
      <c r="B217" s="38">
        <v>45560</v>
      </c>
      <c r="C217" s="9" t="s">
        <v>57</v>
      </c>
      <c r="D217" s="9" t="s">
        <v>12</v>
      </c>
      <c r="E217" s="11" t="s">
        <v>58</v>
      </c>
      <c r="F217" s="10">
        <f>2120+440</f>
        <v>2560</v>
      </c>
      <c r="G217" s="10"/>
      <c r="H217" s="10" t="s">
        <v>18</v>
      </c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4.25" customHeight="1" x14ac:dyDescent="0.3">
      <c r="A218" s="8"/>
      <c r="B218" s="38">
        <v>45560</v>
      </c>
      <c r="C218" s="9" t="s">
        <v>98</v>
      </c>
      <c r="D218" s="9" t="s">
        <v>12</v>
      </c>
      <c r="E218" s="11" t="s">
        <v>99</v>
      </c>
      <c r="F218" s="10">
        <v>120</v>
      </c>
      <c r="G218" s="10"/>
      <c r="H218" s="10" t="s">
        <v>18</v>
      </c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4.25" customHeight="1" x14ac:dyDescent="0.3">
      <c r="A219" s="8"/>
      <c r="B219" s="38">
        <v>45560</v>
      </c>
      <c r="C219" s="9" t="s">
        <v>45</v>
      </c>
      <c r="D219" s="9" t="s">
        <v>12</v>
      </c>
      <c r="E219" s="11" t="s">
        <v>59</v>
      </c>
      <c r="F219" s="10"/>
      <c r="G219" s="10">
        <f>2000-1840</f>
        <v>160</v>
      </c>
      <c r="H219" s="10" t="s">
        <v>10</v>
      </c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4.25" customHeight="1" x14ac:dyDescent="0.3">
      <c r="A220" s="8"/>
      <c r="B220" s="38">
        <v>45560</v>
      </c>
      <c r="C220" s="9" t="s">
        <v>14</v>
      </c>
      <c r="D220" s="9" t="s">
        <v>12</v>
      </c>
      <c r="E220" s="11" t="s">
        <v>15</v>
      </c>
      <c r="F220" s="10">
        <f>7*16</f>
        <v>112</v>
      </c>
      <c r="G220" s="10"/>
      <c r="H220" s="10" t="s">
        <v>18</v>
      </c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4.25" customHeight="1" x14ac:dyDescent="0.3">
      <c r="A221" s="8"/>
      <c r="B221" s="38">
        <v>45560</v>
      </c>
      <c r="C221" s="9" t="s">
        <v>61</v>
      </c>
      <c r="D221" s="9" t="s">
        <v>20</v>
      </c>
      <c r="E221" s="11" t="s">
        <v>62</v>
      </c>
      <c r="F221" s="10"/>
      <c r="G221" s="10">
        <v>7</v>
      </c>
      <c r="H221" s="10" t="s">
        <v>10</v>
      </c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4.25" customHeight="1" x14ac:dyDescent="0.3">
      <c r="A222" s="8"/>
      <c r="B222" s="38">
        <v>45560</v>
      </c>
      <c r="C222" s="39" t="s">
        <v>83</v>
      </c>
      <c r="D222" s="9" t="s">
        <v>20</v>
      </c>
      <c r="E222" s="11" t="s">
        <v>84</v>
      </c>
      <c r="F222" s="10"/>
      <c r="G222" s="10">
        <v>2.5</v>
      </c>
      <c r="H222" s="10" t="s">
        <v>10</v>
      </c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4.25" customHeight="1" x14ac:dyDescent="0.3">
      <c r="A223" s="8"/>
      <c r="B223" s="38">
        <v>45560</v>
      </c>
      <c r="C223" s="39" t="s">
        <v>90</v>
      </c>
      <c r="D223" s="9" t="s">
        <v>20</v>
      </c>
      <c r="E223" s="11" t="s">
        <v>91</v>
      </c>
      <c r="F223" s="10"/>
      <c r="G223" s="10">
        <f>11.3-8.3</f>
        <v>3</v>
      </c>
      <c r="H223" s="10" t="s">
        <v>10</v>
      </c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4.25" customHeight="1" x14ac:dyDescent="0.3">
      <c r="A224" s="8"/>
      <c r="B224" s="38">
        <v>45565</v>
      </c>
      <c r="C224" s="9" t="s">
        <v>28</v>
      </c>
      <c r="D224" s="9" t="s">
        <v>8</v>
      </c>
      <c r="E224" s="11" t="s">
        <v>29</v>
      </c>
      <c r="F224" s="10"/>
      <c r="G224" s="10">
        <v>1</v>
      </c>
      <c r="H224" s="10" t="s">
        <v>10</v>
      </c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4.25" customHeight="1" x14ac:dyDescent="0.3">
      <c r="A225" s="8"/>
      <c r="B225" s="38">
        <v>45565</v>
      </c>
      <c r="C225" s="9" t="s">
        <v>75</v>
      </c>
      <c r="D225" s="9" t="s">
        <v>8</v>
      </c>
      <c r="E225" s="11" t="s">
        <v>76</v>
      </c>
      <c r="F225" s="10">
        <v>1</v>
      </c>
      <c r="G225" s="10"/>
      <c r="H225" s="10" t="s">
        <v>18</v>
      </c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4.25" customHeight="1" x14ac:dyDescent="0.3">
      <c r="A226" s="8"/>
      <c r="B226" s="38">
        <v>45565</v>
      </c>
      <c r="C226" s="9" t="s">
        <v>188</v>
      </c>
      <c r="D226" s="9" t="s">
        <v>12</v>
      </c>
      <c r="E226" s="11" t="s">
        <v>92</v>
      </c>
      <c r="F226" s="10"/>
      <c r="G226" s="10">
        <f>222-144</f>
        <v>78</v>
      </c>
      <c r="H226" s="10" t="s">
        <v>10</v>
      </c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4.25" customHeight="1" x14ac:dyDescent="0.3">
      <c r="A227" s="8"/>
      <c r="B227" s="38">
        <v>45565</v>
      </c>
      <c r="C227" s="9" t="s">
        <v>43</v>
      </c>
      <c r="D227" s="9" t="s">
        <v>20</v>
      </c>
      <c r="E227" s="11" t="s">
        <v>44</v>
      </c>
      <c r="F227" s="10"/>
      <c r="G227" s="10">
        <v>6.7</v>
      </c>
      <c r="H227" s="10" t="s">
        <v>10</v>
      </c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4.25" customHeight="1" x14ac:dyDescent="0.3">
      <c r="A228" s="8"/>
      <c r="B228" s="38">
        <v>45565</v>
      </c>
      <c r="C228" s="9" t="s">
        <v>77</v>
      </c>
      <c r="D228" s="9" t="s">
        <v>20</v>
      </c>
      <c r="E228" s="11" t="s">
        <v>78</v>
      </c>
      <c r="F228" s="10">
        <v>2.9</v>
      </c>
      <c r="G228" s="10"/>
      <c r="H228" s="10" t="s">
        <v>18</v>
      </c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4.25" customHeight="1" x14ac:dyDescent="0.3">
      <c r="A229" s="8"/>
      <c r="B229" s="38">
        <v>45565</v>
      </c>
      <c r="C229" s="9" t="s">
        <v>51</v>
      </c>
      <c r="D229" s="9" t="s">
        <v>20</v>
      </c>
      <c r="E229" s="11" t="s">
        <v>52</v>
      </c>
      <c r="F229" s="10"/>
      <c r="G229" s="10">
        <f>29-23</f>
        <v>6</v>
      </c>
      <c r="H229" s="10" t="s">
        <v>10</v>
      </c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4.25" customHeight="1" x14ac:dyDescent="0.3">
      <c r="A230" s="8"/>
      <c r="B230" s="38">
        <v>45565</v>
      </c>
      <c r="C230" s="9" t="s">
        <v>73</v>
      </c>
      <c r="D230" s="9" t="s">
        <v>71</v>
      </c>
      <c r="E230" s="11" t="s">
        <v>74</v>
      </c>
      <c r="F230" s="10"/>
      <c r="G230" s="10">
        <v>1</v>
      </c>
      <c r="H230" s="10" t="s">
        <v>10</v>
      </c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4.25" customHeight="1" x14ac:dyDescent="0.3">
      <c r="A231" s="8"/>
      <c r="B231" s="38">
        <v>45565</v>
      </c>
      <c r="C231" s="9" t="s">
        <v>39</v>
      </c>
      <c r="D231" s="9" t="s">
        <v>20</v>
      </c>
      <c r="E231" s="11" t="s">
        <v>40</v>
      </c>
      <c r="F231" s="10"/>
      <c r="G231" s="10">
        <v>6</v>
      </c>
      <c r="H231" s="10" t="s">
        <v>10</v>
      </c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4.25" customHeight="1" x14ac:dyDescent="0.3">
      <c r="A232" s="8"/>
      <c r="B232" s="38">
        <v>45565</v>
      </c>
      <c r="C232" s="8" t="s">
        <v>93</v>
      </c>
      <c r="D232" s="9" t="s">
        <v>12</v>
      </c>
      <c r="E232" s="11" t="s">
        <v>94</v>
      </c>
      <c r="F232" s="10"/>
      <c r="G232" s="10">
        <v>1</v>
      </c>
      <c r="H232" s="10" t="s">
        <v>10</v>
      </c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4.25" customHeight="1" x14ac:dyDescent="0.3">
      <c r="A233" s="8"/>
      <c r="B233" s="38">
        <v>45565</v>
      </c>
      <c r="C233" s="9" t="s">
        <v>80</v>
      </c>
      <c r="D233" s="9" t="s">
        <v>71</v>
      </c>
      <c r="E233" s="11" t="s">
        <v>81</v>
      </c>
      <c r="F233" s="10"/>
      <c r="G233" s="10">
        <v>1</v>
      </c>
      <c r="H233" s="10" t="s">
        <v>10</v>
      </c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4.25" customHeight="1" x14ac:dyDescent="0.3">
      <c r="A234" s="8"/>
      <c r="B234" s="38">
        <v>45565</v>
      </c>
      <c r="C234" s="9" t="s">
        <v>95</v>
      </c>
      <c r="D234" s="9" t="s">
        <v>12</v>
      </c>
      <c r="E234" s="11" t="s">
        <v>96</v>
      </c>
      <c r="F234" s="10">
        <f>5*30</f>
        <v>150</v>
      </c>
      <c r="G234" s="10"/>
      <c r="H234" s="10" t="s">
        <v>18</v>
      </c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4.25" customHeight="1" x14ac:dyDescent="0.3">
      <c r="A235" s="8"/>
      <c r="B235" s="38">
        <v>45565</v>
      </c>
      <c r="C235" s="9" t="s">
        <v>70</v>
      </c>
      <c r="D235" s="9" t="s">
        <v>12</v>
      </c>
      <c r="E235" s="11" t="s">
        <v>72</v>
      </c>
      <c r="F235" s="10"/>
      <c r="G235" s="10">
        <v>1</v>
      </c>
      <c r="H235" s="10" t="s">
        <v>10</v>
      </c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4.25" customHeight="1" x14ac:dyDescent="0.3">
      <c r="A236" s="8"/>
      <c r="B236" s="38">
        <v>45565</v>
      </c>
      <c r="C236" s="9" t="s">
        <v>68</v>
      </c>
      <c r="D236" s="9" t="s">
        <v>12</v>
      </c>
      <c r="E236" s="11" t="s">
        <v>69</v>
      </c>
      <c r="F236" s="10">
        <v>10</v>
      </c>
      <c r="G236" s="10"/>
      <c r="H236" s="10" t="s">
        <v>18</v>
      </c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4.25" customHeight="1" x14ac:dyDescent="0.3">
      <c r="A237" s="8"/>
      <c r="B237" s="38">
        <v>45565</v>
      </c>
      <c r="C237" s="9" t="s">
        <v>55</v>
      </c>
      <c r="D237" s="9" t="s">
        <v>12</v>
      </c>
      <c r="E237" s="11" t="s">
        <v>56</v>
      </c>
      <c r="F237" s="10"/>
      <c r="G237" s="10">
        <f>1002-900</f>
        <v>102</v>
      </c>
      <c r="H237" s="10" t="s">
        <v>10</v>
      </c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4.25" customHeight="1" x14ac:dyDescent="0.3">
      <c r="A238" s="8"/>
      <c r="B238" s="38">
        <v>45565</v>
      </c>
      <c r="C238" s="9" t="s">
        <v>98</v>
      </c>
      <c r="D238" s="9" t="s">
        <v>12</v>
      </c>
      <c r="E238" s="11" t="s">
        <v>99</v>
      </c>
      <c r="F238" s="10"/>
      <c r="G238" s="10">
        <f>120-112</f>
        <v>8</v>
      </c>
      <c r="H238" s="10" t="s">
        <v>10</v>
      </c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4.25" customHeight="1" x14ac:dyDescent="0.3">
      <c r="A239" s="8"/>
      <c r="B239" s="38">
        <v>45565</v>
      </c>
      <c r="C239" s="9" t="s">
        <v>45</v>
      </c>
      <c r="D239" s="9" t="s">
        <v>12</v>
      </c>
      <c r="E239" s="11" t="s">
        <v>59</v>
      </c>
      <c r="F239" s="10"/>
      <c r="G239" s="10">
        <f>1840-1760</f>
        <v>80</v>
      </c>
      <c r="H239" s="10" t="s">
        <v>10</v>
      </c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4.25" customHeight="1" x14ac:dyDescent="0.3">
      <c r="A240" s="8"/>
      <c r="B240" s="38">
        <v>45565</v>
      </c>
      <c r="C240" s="9" t="s">
        <v>61</v>
      </c>
      <c r="D240" s="9" t="s">
        <v>20</v>
      </c>
      <c r="E240" s="11" t="s">
        <v>62</v>
      </c>
      <c r="F240" s="10">
        <v>6</v>
      </c>
      <c r="G240" s="10"/>
      <c r="H240" s="10" t="s">
        <v>18</v>
      </c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4.25" customHeight="1" x14ac:dyDescent="0.3">
      <c r="A241" s="8"/>
      <c r="B241" s="38">
        <v>45565</v>
      </c>
      <c r="C241" s="18" t="s">
        <v>79</v>
      </c>
      <c r="D241" s="9" t="s">
        <v>20</v>
      </c>
      <c r="E241" s="11" t="s">
        <v>82</v>
      </c>
      <c r="F241" s="10"/>
      <c r="G241" s="10">
        <v>4.7</v>
      </c>
      <c r="H241" s="10" t="s">
        <v>10</v>
      </c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4.25" customHeight="1" x14ac:dyDescent="0.3">
      <c r="A242" s="8"/>
      <c r="B242" s="38">
        <v>45565</v>
      </c>
      <c r="C242" s="9" t="s">
        <v>24</v>
      </c>
      <c r="D242" s="9" t="s">
        <v>12</v>
      </c>
      <c r="E242" s="11" t="s">
        <v>25</v>
      </c>
      <c r="F242" s="10"/>
      <c r="G242" s="10">
        <v>10</v>
      </c>
      <c r="H242" s="10" t="s">
        <v>10</v>
      </c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4.25" customHeight="1" x14ac:dyDescent="0.3">
      <c r="A243" s="8"/>
      <c r="B243" s="38">
        <v>45565</v>
      </c>
      <c r="C243" s="18" t="s">
        <v>63</v>
      </c>
      <c r="D243" s="9" t="s">
        <v>20</v>
      </c>
      <c r="E243" s="11" t="s">
        <v>64</v>
      </c>
      <c r="F243" s="10"/>
      <c r="G243" s="10">
        <v>4.5</v>
      </c>
      <c r="H243" s="10" t="s">
        <v>10</v>
      </c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4.25" customHeight="1" x14ac:dyDescent="0.3">
      <c r="A244" s="8"/>
      <c r="B244" s="38">
        <v>45565</v>
      </c>
      <c r="C244" s="26" t="s">
        <v>87</v>
      </c>
      <c r="D244" s="9" t="s">
        <v>20</v>
      </c>
      <c r="E244" s="11" t="s">
        <v>88</v>
      </c>
      <c r="F244" s="10"/>
      <c r="G244" s="10">
        <v>0.9</v>
      </c>
      <c r="H244" s="10" t="s">
        <v>10</v>
      </c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4.25" customHeight="1" x14ac:dyDescent="0.3">
      <c r="A245" s="8"/>
      <c r="B245" s="38">
        <v>45565</v>
      </c>
      <c r="C245" s="39" t="s">
        <v>90</v>
      </c>
      <c r="D245" s="9" t="s">
        <v>20</v>
      </c>
      <c r="E245" s="11" t="s">
        <v>91</v>
      </c>
      <c r="F245" s="10"/>
      <c r="G245" s="10">
        <v>1</v>
      </c>
      <c r="H245" s="10" t="s">
        <v>10</v>
      </c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4.25" customHeight="1" x14ac:dyDescent="0.3">
      <c r="A246" s="8"/>
      <c r="B246" s="38">
        <v>45567</v>
      </c>
      <c r="C246" s="9" t="s">
        <v>7</v>
      </c>
      <c r="D246" s="9" t="s">
        <v>8</v>
      </c>
      <c r="E246" s="11" t="s">
        <v>9</v>
      </c>
      <c r="F246" s="10">
        <v>1</v>
      </c>
      <c r="G246" s="10"/>
      <c r="H246" s="10" t="s">
        <v>18</v>
      </c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4.25" customHeight="1" x14ac:dyDescent="0.3">
      <c r="A247" s="8"/>
      <c r="B247" s="38">
        <v>45567</v>
      </c>
      <c r="C247" s="9" t="s">
        <v>7</v>
      </c>
      <c r="D247" s="9" t="s">
        <v>8</v>
      </c>
      <c r="E247" s="11" t="s">
        <v>9</v>
      </c>
      <c r="F247" s="10"/>
      <c r="G247" s="10">
        <v>1</v>
      </c>
      <c r="H247" s="10" t="s">
        <v>10</v>
      </c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4.25" customHeight="1" x14ac:dyDescent="0.3">
      <c r="A248" s="8"/>
      <c r="B248" s="38">
        <v>45572</v>
      </c>
      <c r="C248" s="9" t="s">
        <v>28</v>
      </c>
      <c r="D248" s="9" t="s">
        <v>8</v>
      </c>
      <c r="E248" s="11" t="s">
        <v>100</v>
      </c>
      <c r="F248" s="10"/>
      <c r="G248" s="10">
        <v>2</v>
      </c>
      <c r="H248" s="10" t="s">
        <v>10</v>
      </c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4.25" customHeight="1" x14ac:dyDescent="0.3">
      <c r="A249" s="8"/>
      <c r="B249" s="38">
        <v>45572</v>
      </c>
      <c r="C249" s="9" t="s">
        <v>7</v>
      </c>
      <c r="D249" s="9" t="s">
        <v>8</v>
      </c>
      <c r="E249" s="11" t="s">
        <v>9</v>
      </c>
      <c r="F249" s="10"/>
      <c r="G249" s="10">
        <v>1</v>
      </c>
      <c r="H249" s="10" t="s">
        <v>10</v>
      </c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4.25" customHeight="1" x14ac:dyDescent="0.3">
      <c r="A250" s="8"/>
      <c r="B250" s="38">
        <v>45572</v>
      </c>
      <c r="C250" s="9" t="s">
        <v>189</v>
      </c>
      <c r="D250" s="9" t="s">
        <v>12</v>
      </c>
      <c r="E250" s="11" t="s">
        <v>92</v>
      </c>
      <c r="F250" s="10"/>
      <c r="G250" s="10">
        <f>144-60</f>
        <v>84</v>
      </c>
      <c r="H250" s="10" t="s">
        <v>10</v>
      </c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4.25" customHeight="1" x14ac:dyDescent="0.3">
      <c r="A251" s="8"/>
      <c r="B251" s="38">
        <v>45572</v>
      </c>
      <c r="C251" s="9" t="s">
        <v>43</v>
      </c>
      <c r="D251" s="9" t="s">
        <v>20</v>
      </c>
      <c r="E251" s="11" t="s">
        <v>44</v>
      </c>
      <c r="F251" s="10"/>
      <c r="G251" s="10">
        <f>12-8.5</f>
        <v>3.5</v>
      </c>
      <c r="H251" s="10" t="s">
        <v>10</v>
      </c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4.25" customHeight="1" x14ac:dyDescent="0.3">
      <c r="A252" s="8"/>
      <c r="B252" s="38">
        <v>45572</v>
      </c>
      <c r="C252" s="9" t="s">
        <v>77</v>
      </c>
      <c r="D252" s="9" t="s">
        <v>20</v>
      </c>
      <c r="E252" s="11" t="s">
        <v>78</v>
      </c>
      <c r="F252" s="10"/>
      <c r="G252" s="10">
        <v>0.4</v>
      </c>
      <c r="H252" s="10" t="s">
        <v>10</v>
      </c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4.25" customHeight="1" x14ac:dyDescent="0.3">
      <c r="A253" s="8"/>
      <c r="B253" s="38">
        <v>45572</v>
      </c>
      <c r="C253" s="9" t="s">
        <v>51</v>
      </c>
      <c r="D253" s="9" t="s">
        <v>20</v>
      </c>
      <c r="E253" s="11" t="s">
        <v>52</v>
      </c>
      <c r="F253" s="10"/>
      <c r="G253" s="10">
        <v>20</v>
      </c>
      <c r="H253" s="10" t="s">
        <v>10</v>
      </c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4.25" customHeight="1" x14ac:dyDescent="0.3">
      <c r="A254" s="8"/>
      <c r="B254" s="38">
        <v>45572</v>
      </c>
      <c r="C254" s="9" t="s">
        <v>73</v>
      </c>
      <c r="D254" s="9" t="s">
        <v>71</v>
      </c>
      <c r="E254" s="11" t="s">
        <v>74</v>
      </c>
      <c r="F254" s="10">
        <v>1</v>
      </c>
      <c r="G254" s="10"/>
      <c r="H254" s="10" t="s">
        <v>18</v>
      </c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4.25" customHeight="1" x14ac:dyDescent="0.3">
      <c r="A255" s="8"/>
      <c r="B255" s="38">
        <v>45572</v>
      </c>
      <c r="C255" s="9" t="s">
        <v>39</v>
      </c>
      <c r="D255" s="9" t="s">
        <v>20</v>
      </c>
      <c r="E255" s="11" t="s">
        <v>40</v>
      </c>
      <c r="F255" s="10">
        <v>5</v>
      </c>
      <c r="G255" s="10"/>
      <c r="H255" s="10" t="s">
        <v>18</v>
      </c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4.25" customHeight="1" x14ac:dyDescent="0.3">
      <c r="A256" s="8"/>
      <c r="B256" s="38">
        <v>45572</v>
      </c>
      <c r="C256" s="9" t="s">
        <v>39</v>
      </c>
      <c r="D256" s="9" t="s">
        <v>20</v>
      </c>
      <c r="E256" s="11" t="s">
        <v>40</v>
      </c>
      <c r="F256" s="10"/>
      <c r="G256" s="10">
        <f>5-3.7</f>
        <v>1.2999999999999998</v>
      </c>
      <c r="H256" s="10" t="s">
        <v>10</v>
      </c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4.25" customHeight="1" x14ac:dyDescent="0.3">
      <c r="A257" s="8"/>
      <c r="B257" s="38">
        <v>45572</v>
      </c>
      <c r="C257" s="9" t="s">
        <v>41</v>
      </c>
      <c r="D257" s="9" t="s">
        <v>20</v>
      </c>
      <c r="E257" s="11" t="s">
        <v>42</v>
      </c>
      <c r="F257" s="10">
        <v>5</v>
      </c>
      <c r="G257" s="10"/>
      <c r="H257" s="10" t="s">
        <v>18</v>
      </c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4.25" customHeight="1" x14ac:dyDescent="0.3">
      <c r="A258" s="8"/>
      <c r="B258" s="38">
        <v>45572</v>
      </c>
      <c r="C258" s="9" t="s">
        <v>41</v>
      </c>
      <c r="D258" s="9" t="s">
        <v>20</v>
      </c>
      <c r="E258" s="11" t="s">
        <v>42</v>
      </c>
      <c r="F258" s="10">
        <v>2.4</v>
      </c>
      <c r="G258" s="10"/>
      <c r="H258" s="10" t="s">
        <v>18</v>
      </c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4.25" customHeight="1" x14ac:dyDescent="0.3">
      <c r="A259" s="8"/>
      <c r="B259" s="38">
        <v>45572</v>
      </c>
      <c r="C259" s="8" t="s">
        <v>93</v>
      </c>
      <c r="D259" s="9" t="s">
        <v>12</v>
      </c>
      <c r="E259" s="11" t="s">
        <v>94</v>
      </c>
      <c r="F259" s="10"/>
      <c r="G259" s="10">
        <f>42-37</f>
        <v>5</v>
      </c>
      <c r="H259" s="10" t="s">
        <v>10</v>
      </c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4.25" customHeight="1" x14ac:dyDescent="0.3">
      <c r="A260" s="8"/>
      <c r="B260" s="38">
        <v>45572</v>
      </c>
      <c r="C260" s="9" t="s">
        <v>80</v>
      </c>
      <c r="D260" s="9" t="s">
        <v>71</v>
      </c>
      <c r="E260" s="11" t="s">
        <v>81</v>
      </c>
      <c r="F260" s="10">
        <v>1</v>
      </c>
      <c r="G260" s="10"/>
      <c r="H260" s="10" t="s">
        <v>18</v>
      </c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4.25" customHeight="1" x14ac:dyDescent="0.3">
      <c r="A261" s="8"/>
      <c r="B261" s="38">
        <v>45572</v>
      </c>
      <c r="C261" s="14" t="s">
        <v>11</v>
      </c>
      <c r="D261" s="9" t="s">
        <v>12</v>
      </c>
      <c r="E261" s="11" t="s">
        <v>13</v>
      </c>
      <c r="F261" s="10">
        <f>24*2</f>
        <v>48</v>
      </c>
      <c r="G261" s="10"/>
      <c r="H261" s="10" t="s">
        <v>18</v>
      </c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4.25" customHeight="1" x14ac:dyDescent="0.3">
      <c r="A262" s="8"/>
      <c r="B262" s="38">
        <v>45573</v>
      </c>
      <c r="C262" s="9" t="s">
        <v>28</v>
      </c>
      <c r="D262" s="9" t="s">
        <v>8</v>
      </c>
      <c r="E262" s="11" t="s">
        <v>100</v>
      </c>
      <c r="F262" s="10">
        <v>2</v>
      </c>
      <c r="G262" s="10"/>
      <c r="H262" s="10" t="s">
        <v>18</v>
      </c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4.25" customHeight="1" x14ac:dyDescent="0.3">
      <c r="A263" s="8"/>
      <c r="B263" s="38">
        <v>45573</v>
      </c>
      <c r="C263" s="9" t="s">
        <v>11</v>
      </c>
      <c r="D263" s="9" t="s">
        <v>12</v>
      </c>
      <c r="E263" s="11" t="s">
        <v>13</v>
      </c>
      <c r="F263" s="10">
        <v>72</v>
      </c>
      <c r="G263" s="10"/>
      <c r="H263" s="10" t="s">
        <v>18</v>
      </c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4.25" customHeight="1" x14ac:dyDescent="0.3">
      <c r="A264" s="8"/>
      <c r="B264" s="38">
        <v>45573</v>
      </c>
      <c r="C264" s="9" t="s">
        <v>70</v>
      </c>
      <c r="D264" s="9" t="s">
        <v>20</v>
      </c>
      <c r="E264" s="11" t="s">
        <v>72</v>
      </c>
      <c r="F264" s="10">
        <v>2.4</v>
      </c>
      <c r="G264" s="10"/>
      <c r="H264" s="10" t="s">
        <v>18</v>
      </c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4.25" customHeight="1" x14ac:dyDescent="0.3">
      <c r="A265" s="8"/>
      <c r="B265" s="38">
        <v>45574</v>
      </c>
      <c r="C265" s="9" t="s">
        <v>7</v>
      </c>
      <c r="D265" s="9" t="s">
        <v>8</v>
      </c>
      <c r="E265" s="11" t="s">
        <v>9</v>
      </c>
      <c r="F265" s="10"/>
      <c r="G265" s="10">
        <v>1</v>
      </c>
      <c r="H265" s="10" t="s">
        <v>10</v>
      </c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4.25" customHeight="1" x14ac:dyDescent="0.3">
      <c r="A266" s="8"/>
      <c r="B266" s="38">
        <v>45574</v>
      </c>
      <c r="C266" s="9" t="s">
        <v>30</v>
      </c>
      <c r="D266" s="9" t="s">
        <v>8</v>
      </c>
      <c r="E266" s="11" t="s">
        <v>31</v>
      </c>
      <c r="F266" s="10"/>
      <c r="G266" s="10">
        <v>1</v>
      </c>
      <c r="H266" s="10" t="s">
        <v>10</v>
      </c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4.25" customHeight="1" x14ac:dyDescent="0.3">
      <c r="A267" s="8"/>
      <c r="B267" s="38">
        <v>45574</v>
      </c>
      <c r="C267" s="9" t="s">
        <v>75</v>
      </c>
      <c r="D267" s="9" t="s">
        <v>8</v>
      </c>
      <c r="E267" s="11" t="s">
        <v>76</v>
      </c>
      <c r="F267" s="10"/>
      <c r="G267" s="10">
        <v>1</v>
      </c>
      <c r="H267" s="10" t="s">
        <v>10</v>
      </c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4.25" customHeight="1" x14ac:dyDescent="0.3">
      <c r="A268" s="8"/>
      <c r="B268" s="38">
        <v>45575</v>
      </c>
      <c r="C268" s="9" t="s">
        <v>75</v>
      </c>
      <c r="D268" s="9" t="s">
        <v>8</v>
      </c>
      <c r="E268" s="11" t="s">
        <v>76</v>
      </c>
      <c r="F268" s="10">
        <v>1</v>
      </c>
      <c r="G268" s="10"/>
      <c r="H268" s="10" t="s">
        <v>18</v>
      </c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4.25" customHeight="1" x14ac:dyDescent="0.3">
      <c r="A269" s="8"/>
      <c r="B269" s="38">
        <v>45575</v>
      </c>
      <c r="C269" s="9" t="s">
        <v>7</v>
      </c>
      <c r="D269" s="9" t="s">
        <v>8</v>
      </c>
      <c r="E269" s="11" t="s">
        <v>9</v>
      </c>
      <c r="F269" s="10">
        <v>2</v>
      </c>
      <c r="G269" s="10"/>
      <c r="H269" s="10" t="s">
        <v>18</v>
      </c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4.25" customHeight="1" x14ac:dyDescent="0.3">
      <c r="A270" s="8"/>
      <c r="B270" s="38">
        <v>45575</v>
      </c>
      <c r="C270" s="9" t="s">
        <v>30</v>
      </c>
      <c r="D270" s="9" t="s">
        <v>8</v>
      </c>
      <c r="E270" s="11" t="s">
        <v>31</v>
      </c>
      <c r="F270" s="10">
        <v>1</v>
      </c>
      <c r="G270" s="10"/>
      <c r="H270" s="10" t="s">
        <v>18</v>
      </c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4.25" customHeight="1" x14ac:dyDescent="0.3">
      <c r="A271" s="8"/>
      <c r="B271" s="38">
        <v>45575</v>
      </c>
      <c r="C271" s="9" t="s">
        <v>24</v>
      </c>
      <c r="D271" s="9" t="s">
        <v>12</v>
      </c>
      <c r="E271" s="11" t="s">
        <v>25</v>
      </c>
      <c r="F271" s="10">
        <v>10</v>
      </c>
      <c r="G271" s="10"/>
      <c r="H271" s="10" t="s">
        <v>18</v>
      </c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4.25" customHeight="1" x14ac:dyDescent="0.3">
      <c r="A272" s="8"/>
      <c r="B272" s="38">
        <v>45575</v>
      </c>
      <c r="C272" s="9" t="s">
        <v>189</v>
      </c>
      <c r="D272" s="9" t="s">
        <v>12</v>
      </c>
      <c r="E272" s="11" t="s">
        <v>92</v>
      </c>
      <c r="F272" s="10">
        <v>48</v>
      </c>
      <c r="G272" s="10"/>
      <c r="H272" s="10" t="s">
        <v>18</v>
      </c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4.25" customHeight="1" x14ac:dyDescent="0.3">
      <c r="A273" s="8"/>
      <c r="B273" s="38">
        <v>45576</v>
      </c>
      <c r="C273" s="8" t="s">
        <v>93</v>
      </c>
      <c r="D273" s="9" t="s">
        <v>12</v>
      </c>
      <c r="E273" s="11" t="s">
        <v>94</v>
      </c>
      <c r="F273" s="10"/>
      <c r="G273" s="10">
        <v>5</v>
      </c>
      <c r="H273" s="10" t="s">
        <v>10</v>
      </c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4.25" customHeight="1" x14ac:dyDescent="0.3">
      <c r="A274" s="8"/>
      <c r="B274" s="38">
        <v>45578</v>
      </c>
      <c r="C274" s="9" t="s">
        <v>28</v>
      </c>
      <c r="D274" s="9" t="s">
        <v>8</v>
      </c>
      <c r="E274" s="11" t="s">
        <v>100</v>
      </c>
      <c r="F274" s="10"/>
      <c r="G274" s="10">
        <v>1</v>
      </c>
      <c r="H274" s="10" t="s">
        <v>10</v>
      </c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4.25" customHeight="1" x14ac:dyDescent="0.3">
      <c r="A275" s="8"/>
      <c r="B275" s="38">
        <v>45579</v>
      </c>
      <c r="C275" s="9" t="s">
        <v>30</v>
      </c>
      <c r="D275" s="9" t="s">
        <v>8</v>
      </c>
      <c r="E275" s="11" t="s">
        <v>31</v>
      </c>
      <c r="F275" s="10"/>
      <c r="G275" s="10">
        <v>1</v>
      </c>
      <c r="H275" s="10" t="s">
        <v>10</v>
      </c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4.25" customHeight="1" x14ac:dyDescent="0.3">
      <c r="A276" s="8"/>
      <c r="B276" s="38">
        <v>45579</v>
      </c>
      <c r="C276" s="9" t="s">
        <v>189</v>
      </c>
      <c r="D276" s="9" t="s">
        <v>12</v>
      </c>
      <c r="E276" s="11" t="s">
        <v>92</v>
      </c>
      <c r="F276" s="10"/>
      <c r="G276" s="10">
        <v>2</v>
      </c>
      <c r="H276" s="10" t="s">
        <v>10</v>
      </c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4.25" customHeight="1" x14ac:dyDescent="0.3">
      <c r="A277" s="8"/>
      <c r="B277" s="38">
        <v>45579</v>
      </c>
      <c r="C277" s="9" t="s">
        <v>43</v>
      </c>
      <c r="D277" s="9" t="s">
        <v>20</v>
      </c>
      <c r="E277" s="11" t="s">
        <v>44</v>
      </c>
      <c r="F277" s="10">
        <f>13-8.5</f>
        <v>4.5</v>
      </c>
      <c r="G277" s="10"/>
      <c r="H277" s="10" t="s">
        <v>18</v>
      </c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4.25" customHeight="1" x14ac:dyDescent="0.3">
      <c r="A278" s="8"/>
      <c r="B278" s="38">
        <v>45579</v>
      </c>
      <c r="C278" s="9" t="s">
        <v>77</v>
      </c>
      <c r="D278" s="9" t="s">
        <v>20</v>
      </c>
      <c r="E278" s="11" t="s">
        <v>78</v>
      </c>
      <c r="F278" s="10"/>
      <c r="G278" s="10">
        <f>2.8-1.5</f>
        <v>1.2999999999999998</v>
      </c>
      <c r="H278" s="10" t="s">
        <v>10</v>
      </c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4.25" customHeight="1" x14ac:dyDescent="0.3">
      <c r="A279" s="8"/>
      <c r="B279" s="38">
        <v>45579</v>
      </c>
      <c r="C279" s="9" t="s">
        <v>39</v>
      </c>
      <c r="D279" s="9" t="s">
        <v>20</v>
      </c>
      <c r="E279" s="11" t="s">
        <v>40</v>
      </c>
      <c r="F279" s="10"/>
      <c r="G279" s="10">
        <v>3.7</v>
      </c>
      <c r="H279" s="10" t="s">
        <v>10</v>
      </c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4.25" customHeight="1" x14ac:dyDescent="0.3">
      <c r="A280" s="8"/>
      <c r="B280" s="38">
        <v>45579</v>
      </c>
      <c r="C280" s="9" t="s">
        <v>41</v>
      </c>
      <c r="D280" s="9" t="s">
        <v>20</v>
      </c>
      <c r="E280" s="11" t="s">
        <v>42</v>
      </c>
      <c r="F280" s="10"/>
      <c r="G280" s="10">
        <v>4</v>
      </c>
      <c r="H280" s="10" t="s">
        <v>10</v>
      </c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4.25" customHeight="1" x14ac:dyDescent="0.3">
      <c r="A281" s="8"/>
      <c r="B281" s="38">
        <v>45579</v>
      </c>
      <c r="C281" s="9" t="s">
        <v>55</v>
      </c>
      <c r="D281" s="9" t="s">
        <v>12</v>
      </c>
      <c r="E281" s="11" t="s">
        <v>56</v>
      </c>
      <c r="F281" s="10"/>
      <c r="G281" s="10">
        <f>900-840</f>
        <v>60</v>
      </c>
      <c r="H281" s="10" t="s">
        <v>10</v>
      </c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4.25" customHeight="1" x14ac:dyDescent="0.3">
      <c r="A282" s="8"/>
      <c r="B282" s="38">
        <v>45579</v>
      </c>
      <c r="C282" s="9" t="s">
        <v>57</v>
      </c>
      <c r="D282" s="9" t="s">
        <v>12</v>
      </c>
      <c r="E282" s="11" t="s">
        <v>58</v>
      </c>
      <c r="F282" s="10"/>
      <c r="G282" s="10">
        <v>80</v>
      </c>
      <c r="H282" s="10" t="s">
        <v>10</v>
      </c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4.25" customHeight="1" x14ac:dyDescent="0.3">
      <c r="A283" s="8"/>
      <c r="B283" s="38">
        <v>45579</v>
      </c>
      <c r="C283" s="9" t="s">
        <v>45</v>
      </c>
      <c r="D283" s="9" t="s">
        <v>12</v>
      </c>
      <c r="E283" s="11" t="s">
        <v>59</v>
      </c>
      <c r="F283" s="10"/>
      <c r="G283" s="10">
        <f>1840-1680</f>
        <v>160</v>
      </c>
      <c r="H283" s="10" t="s">
        <v>10</v>
      </c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4.25" customHeight="1" x14ac:dyDescent="0.3">
      <c r="A284" s="8"/>
      <c r="B284" s="38">
        <v>45579</v>
      </c>
      <c r="C284" s="9" t="s">
        <v>14</v>
      </c>
      <c r="D284" s="9" t="s">
        <v>12</v>
      </c>
      <c r="E284" s="11" t="s">
        <v>15</v>
      </c>
      <c r="F284" s="10"/>
      <c r="G284" s="10">
        <f>112-96</f>
        <v>16</v>
      </c>
      <c r="H284" s="10" t="s">
        <v>10</v>
      </c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4.25" customHeight="1" x14ac:dyDescent="0.3">
      <c r="A285" s="8"/>
      <c r="B285" s="38">
        <v>45579</v>
      </c>
      <c r="C285" s="18" t="s">
        <v>79</v>
      </c>
      <c r="D285" s="9" t="s">
        <v>20</v>
      </c>
      <c r="E285" s="11" t="s">
        <v>82</v>
      </c>
      <c r="F285" s="10">
        <v>6.8</v>
      </c>
      <c r="G285" s="10"/>
      <c r="H285" s="10" t="s">
        <v>18</v>
      </c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4.25" customHeight="1" x14ac:dyDescent="0.3">
      <c r="A286" s="8"/>
      <c r="B286" s="38">
        <v>45579</v>
      </c>
      <c r="C286" s="26" t="s">
        <v>87</v>
      </c>
      <c r="D286" s="9" t="s">
        <v>20</v>
      </c>
      <c r="E286" s="11" t="s">
        <v>88</v>
      </c>
      <c r="F286" s="10"/>
      <c r="G286" s="10">
        <f>5.1-3.2</f>
        <v>1.8999999999999995</v>
      </c>
      <c r="H286" s="10" t="s">
        <v>10</v>
      </c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4.25" customHeight="1" x14ac:dyDescent="0.3">
      <c r="A287" s="8"/>
      <c r="B287" s="38">
        <v>45579</v>
      </c>
      <c r="C287" s="39" t="s">
        <v>90</v>
      </c>
      <c r="D287" s="9" t="s">
        <v>20</v>
      </c>
      <c r="E287" s="11" t="s">
        <v>91</v>
      </c>
      <c r="F287" s="10"/>
      <c r="G287" s="10">
        <f>7.3-5.1</f>
        <v>2.2000000000000002</v>
      </c>
      <c r="H287" s="10" t="s">
        <v>10</v>
      </c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4.25" customHeight="1" x14ac:dyDescent="0.3">
      <c r="A288" s="8"/>
      <c r="B288" s="38">
        <v>45580</v>
      </c>
      <c r="C288" s="9" t="s">
        <v>30</v>
      </c>
      <c r="D288" s="9" t="s">
        <v>8</v>
      </c>
      <c r="E288" s="11" t="s">
        <v>31</v>
      </c>
      <c r="F288" s="10">
        <v>1</v>
      </c>
      <c r="G288" s="10"/>
      <c r="H288" s="10" t="s">
        <v>18</v>
      </c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4.25" customHeight="1" x14ac:dyDescent="0.3">
      <c r="A289" s="8"/>
      <c r="B289" s="38">
        <v>45580</v>
      </c>
      <c r="C289" s="9" t="s">
        <v>28</v>
      </c>
      <c r="D289" s="9" t="s">
        <v>8</v>
      </c>
      <c r="E289" s="11" t="s">
        <v>100</v>
      </c>
      <c r="F289" s="10">
        <v>2</v>
      </c>
      <c r="G289" s="10"/>
      <c r="H289" s="10" t="s">
        <v>18</v>
      </c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4.25" customHeight="1" x14ac:dyDescent="0.3">
      <c r="A290" s="8"/>
      <c r="B290" s="38">
        <v>45581</v>
      </c>
      <c r="C290" s="9" t="s">
        <v>39</v>
      </c>
      <c r="D290" s="9" t="s">
        <v>20</v>
      </c>
      <c r="E290" s="11" t="s">
        <v>40</v>
      </c>
      <c r="F290" s="10">
        <v>5</v>
      </c>
      <c r="G290" s="10"/>
      <c r="H290" s="10" t="s">
        <v>18</v>
      </c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4.25" customHeight="1" x14ac:dyDescent="0.3">
      <c r="A291" s="8"/>
      <c r="B291" s="38">
        <v>45581</v>
      </c>
      <c r="C291" s="9" t="s">
        <v>41</v>
      </c>
      <c r="D291" s="9" t="s">
        <v>20</v>
      </c>
      <c r="E291" s="11" t="s">
        <v>42</v>
      </c>
      <c r="F291" s="10">
        <v>5</v>
      </c>
      <c r="G291" s="10"/>
      <c r="H291" s="10" t="s">
        <v>18</v>
      </c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4.25" customHeight="1" x14ac:dyDescent="0.3">
      <c r="A292" s="8"/>
      <c r="B292" s="38">
        <v>45581</v>
      </c>
      <c r="C292" s="26" t="s">
        <v>101</v>
      </c>
      <c r="D292" s="9" t="s">
        <v>8</v>
      </c>
      <c r="E292" s="11" t="s">
        <v>102</v>
      </c>
      <c r="F292" s="10">
        <v>2</v>
      </c>
      <c r="G292" s="10"/>
      <c r="H292" s="10" t="s">
        <v>18</v>
      </c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4.25" customHeight="1" x14ac:dyDescent="0.3">
      <c r="A293" s="8"/>
      <c r="B293" s="38">
        <v>45582</v>
      </c>
      <c r="C293" s="18" t="s">
        <v>79</v>
      </c>
      <c r="D293" s="9" t="s">
        <v>20</v>
      </c>
      <c r="E293" s="11" t="s">
        <v>82</v>
      </c>
      <c r="F293" s="10"/>
      <c r="G293" s="10">
        <v>1</v>
      </c>
      <c r="H293" s="10" t="s">
        <v>10</v>
      </c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4.25" customHeight="1" x14ac:dyDescent="0.3">
      <c r="A294" s="8"/>
      <c r="B294" s="38">
        <v>45583</v>
      </c>
      <c r="C294" s="9" t="s">
        <v>7</v>
      </c>
      <c r="D294" s="9" t="s">
        <v>8</v>
      </c>
      <c r="E294" s="11" t="s">
        <v>9</v>
      </c>
      <c r="F294" s="10"/>
      <c r="G294" s="10">
        <v>1</v>
      </c>
      <c r="H294" s="10" t="s">
        <v>10</v>
      </c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4.25" customHeight="1" x14ac:dyDescent="0.3">
      <c r="A295" s="8"/>
      <c r="B295" s="38">
        <v>45583</v>
      </c>
      <c r="C295" s="9" t="s">
        <v>30</v>
      </c>
      <c r="D295" s="9" t="s">
        <v>8</v>
      </c>
      <c r="E295" s="11" t="s">
        <v>31</v>
      </c>
      <c r="F295" s="10"/>
      <c r="G295" s="10">
        <v>1</v>
      </c>
      <c r="H295" s="10" t="s">
        <v>10</v>
      </c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4.25" customHeight="1" x14ac:dyDescent="0.3">
      <c r="A296" s="8"/>
      <c r="B296" s="38">
        <v>45584</v>
      </c>
      <c r="C296" s="9" t="s">
        <v>28</v>
      </c>
      <c r="D296" s="9" t="s">
        <v>8</v>
      </c>
      <c r="E296" s="11" t="s">
        <v>100</v>
      </c>
      <c r="F296" s="10"/>
      <c r="G296" s="10">
        <v>1</v>
      </c>
      <c r="H296" s="10" t="s">
        <v>10</v>
      </c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4.25" customHeight="1" x14ac:dyDescent="0.3">
      <c r="A297" s="8"/>
      <c r="B297" s="38">
        <v>45583</v>
      </c>
      <c r="C297" s="9" t="s">
        <v>75</v>
      </c>
      <c r="D297" s="9" t="s">
        <v>8</v>
      </c>
      <c r="E297" s="11" t="s">
        <v>76</v>
      </c>
      <c r="F297" s="10"/>
      <c r="G297" s="10">
        <v>1</v>
      </c>
      <c r="H297" s="10" t="s">
        <v>10</v>
      </c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4.25" customHeight="1" x14ac:dyDescent="0.3">
      <c r="A298" s="8"/>
      <c r="B298" s="38">
        <v>45583</v>
      </c>
      <c r="C298" s="9" t="s">
        <v>7</v>
      </c>
      <c r="D298" s="9" t="s">
        <v>8</v>
      </c>
      <c r="E298" s="11" t="s">
        <v>9</v>
      </c>
      <c r="F298" s="10">
        <v>1</v>
      </c>
      <c r="G298" s="10"/>
      <c r="H298" s="10" t="s">
        <v>18</v>
      </c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4.25" customHeight="1" x14ac:dyDescent="0.3">
      <c r="A299" s="8"/>
      <c r="B299" s="38">
        <v>45583</v>
      </c>
      <c r="C299" s="9" t="s">
        <v>30</v>
      </c>
      <c r="D299" s="9" t="s">
        <v>8</v>
      </c>
      <c r="E299" s="11" t="s">
        <v>31</v>
      </c>
      <c r="F299" s="10">
        <v>1</v>
      </c>
      <c r="G299" s="10"/>
      <c r="H299" s="10" t="s">
        <v>18</v>
      </c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4.25" customHeight="1" x14ac:dyDescent="0.3">
      <c r="A300" s="8"/>
      <c r="B300" s="38">
        <v>45583</v>
      </c>
      <c r="C300" s="9" t="s">
        <v>75</v>
      </c>
      <c r="D300" s="9" t="s">
        <v>8</v>
      </c>
      <c r="E300" s="11" t="s">
        <v>76</v>
      </c>
      <c r="F300" s="10">
        <v>1</v>
      </c>
      <c r="G300" s="10"/>
      <c r="H300" s="10" t="s">
        <v>18</v>
      </c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4.25" customHeight="1" x14ac:dyDescent="0.3">
      <c r="A301" s="8"/>
      <c r="B301" s="38">
        <v>45584</v>
      </c>
      <c r="C301" s="9" t="s">
        <v>7</v>
      </c>
      <c r="D301" s="9" t="s">
        <v>8</v>
      </c>
      <c r="E301" s="11" t="s">
        <v>9</v>
      </c>
      <c r="F301" s="10">
        <v>2</v>
      </c>
      <c r="G301" s="10"/>
      <c r="H301" s="10" t="s">
        <v>18</v>
      </c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4.25" customHeight="1" x14ac:dyDescent="0.3">
      <c r="A302" s="8"/>
      <c r="B302" s="38">
        <v>45584</v>
      </c>
      <c r="C302" s="9" t="s">
        <v>28</v>
      </c>
      <c r="D302" s="9" t="s">
        <v>8</v>
      </c>
      <c r="E302" s="11" t="s">
        <v>100</v>
      </c>
      <c r="F302" s="10">
        <v>2</v>
      </c>
      <c r="G302" s="10"/>
      <c r="H302" s="10" t="s">
        <v>18</v>
      </c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4.25" customHeight="1" x14ac:dyDescent="0.3">
      <c r="A303" s="8"/>
      <c r="B303" s="38">
        <v>45584</v>
      </c>
      <c r="C303" s="9" t="s">
        <v>30</v>
      </c>
      <c r="D303" s="9" t="s">
        <v>8</v>
      </c>
      <c r="E303" s="11" t="s">
        <v>31</v>
      </c>
      <c r="F303" s="10">
        <v>1</v>
      </c>
      <c r="G303" s="10"/>
      <c r="H303" s="10" t="s">
        <v>18</v>
      </c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4.25" customHeight="1" x14ac:dyDescent="0.3">
      <c r="A304" s="8"/>
      <c r="B304" s="38">
        <v>45584</v>
      </c>
      <c r="C304" s="9" t="s">
        <v>7</v>
      </c>
      <c r="D304" s="9" t="s">
        <v>8</v>
      </c>
      <c r="E304" s="11" t="s">
        <v>9</v>
      </c>
      <c r="F304" s="10"/>
      <c r="G304" s="10">
        <v>2</v>
      </c>
      <c r="H304" s="10" t="s">
        <v>10</v>
      </c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4.25" customHeight="1" x14ac:dyDescent="0.3">
      <c r="A305" s="8"/>
      <c r="B305" s="38">
        <v>45584</v>
      </c>
      <c r="C305" s="9" t="s">
        <v>28</v>
      </c>
      <c r="D305" s="9" t="s">
        <v>8</v>
      </c>
      <c r="E305" s="11" t="s">
        <v>100</v>
      </c>
      <c r="F305" s="10"/>
      <c r="G305" s="10">
        <v>3</v>
      </c>
      <c r="H305" s="10" t="s">
        <v>10</v>
      </c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4.25" customHeight="1" x14ac:dyDescent="0.3">
      <c r="A306" s="8"/>
      <c r="B306" s="38">
        <v>45584</v>
      </c>
      <c r="C306" s="9" t="s">
        <v>30</v>
      </c>
      <c r="D306" s="9" t="s">
        <v>8</v>
      </c>
      <c r="E306" s="11" t="s">
        <v>31</v>
      </c>
      <c r="F306" s="10"/>
      <c r="G306" s="10">
        <v>1</v>
      </c>
      <c r="H306" s="10" t="s">
        <v>10</v>
      </c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4.25" customHeight="1" x14ac:dyDescent="0.3">
      <c r="A307" s="8"/>
      <c r="B307" s="38">
        <v>45584</v>
      </c>
      <c r="C307" s="26" t="s">
        <v>101</v>
      </c>
      <c r="D307" s="9" t="s">
        <v>8</v>
      </c>
      <c r="E307" s="11" t="s">
        <v>102</v>
      </c>
      <c r="F307" s="10"/>
      <c r="G307" s="10">
        <v>1</v>
      </c>
      <c r="H307" s="10" t="s">
        <v>10</v>
      </c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4.25" customHeight="1" x14ac:dyDescent="0.3">
      <c r="A308" s="8"/>
      <c r="B308" s="38">
        <v>45586</v>
      </c>
      <c r="C308" s="20" t="s">
        <v>189</v>
      </c>
      <c r="D308" s="9" t="s">
        <v>12</v>
      </c>
      <c r="E308" s="11" t="s">
        <v>103</v>
      </c>
      <c r="F308" s="10"/>
      <c r="G308" s="10">
        <f>114-24</f>
        <v>90</v>
      </c>
      <c r="H308" s="10" t="s">
        <v>10</v>
      </c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4.25" customHeight="1" x14ac:dyDescent="0.3">
      <c r="A309" s="8"/>
      <c r="B309" s="38">
        <v>45586</v>
      </c>
      <c r="C309" s="9" t="s">
        <v>43</v>
      </c>
      <c r="D309" s="9" t="s">
        <v>20</v>
      </c>
      <c r="E309" s="11" t="s">
        <v>104</v>
      </c>
      <c r="F309" s="10"/>
      <c r="G309" s="10">
        <f>13-6</f>
        <v>7</v>
      </c>
      <c r="H309" s="10" t="s">
        <v>10</v>
      </c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4.25" customHeight="1" x14ac:dyDescent="0.3">
      <c r="A310" s="8"/>
      <c r="B310" s="38">
        <v>45586</v>
      </c>
      <c r="C310" s="9" t="s">
        <v>73</v>
      </c>
      <c r="D310" s="9" t="s">
        <v>12</v>
      </c>
      <c r="E310" s="11" t="s">
        <v>74</v>
      </c>
      <c r="F310" s="10"/>
      <c r="G310" s="10">
        <v>1</v>
      </c>
      <c r="H310" s="10" t="s">
        <v>10</v>
      </c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4.25" customHeight="1" x14ac:dyDescent="0.3">
      <c r="A311" s="8"/>
      <c r="B311" s="38">
        <v>45586</v>
      </c>
      <c r="C311" s="9" t="s">
        <v>41</v>
      </c>
      <c r="D311" s="9" t="s">
        <v>20</v>
      </c>
      <c r="E311" s="11" t="s">
        <v>42</v>
      </c>
      <c r="F311" s="10"/>
      <c r="G311" s="10">
        <f>8.4-2.4</f>
        <v>6</v>
      </c>
      <c r="H311" s="10" t="s">
        <v>10</v>
      </c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4.25" customHeight="1" x14ac:dyDescent="0.3">
      <c r="A312" s="8"/>
      <c r="B312" s="38">
        <v>45586</v>
      </c>
      <c r="C312" s="8" t="s">
        <v>93</v>
      </c>
      <c r="D312" s="9" t="s">
        <v>12</v>
      </c>
      <c r="E312" s="11" t="s">
        <v>94</v>
      </c>
      <c r="F312" s="10"/>
      <c r="G312" s="10">
        <f>32-27</f>
        <v>5</v>
      </c>
      <c r="H312" s="10" t="s">
        <v>10</v>
      </c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4.25" customHeight="1" x14ac:dyDescent="0.3">
      <c r="A313" s="8"/>
      <c r="B313" s="38">
        <v>45586</v>
      </c>
      <c r="C313" s="9" t="s">
        <v>55</v>
      </c>
      <c r="D313" s="9" t="s">
        <v>12</v>
      </c>
      <c r="E313" s="11" t="s">
        <v>56</v>
      </c>
      <c r="F313" s="10"/>
      <c r="G313" s="10">
        <f>840-780</f>
        <v>60</v>
      </c>
      <c r="H313" s="10" t="s">
        <v>10</v>
      </c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4.25" customHeight="1" x14ac:dyDescent="0.3">
      <c r="A314" s="8"/>
      <c r="B314" s="38">
        <v>45586</v>
      </c>
      <c r="C314" s="9" t="s">
        <v>57</v>
      </c>
      <c r="D314" s="9" t="s">
        <v>12</v>
      </c>
      <c r="E314" s="11" t="s">
        <v>58</v>
      </c>
      <c r="F314" s="10"/>
      <c r="G314" s="10">
        <f>2800-2720</f>
        <v>80</v>
      </c>
      <c r="H314" s="10" t="s">
        <v>10</v>
      </c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4.25" customHeight="1" x14ac:dyDescent="0.3">
      <c r="A315" s="8"/>
      <c r="B315" s="38">
        <v>45586</v>
      </c>
      <c r="C315" s="18" t="s">
        <v>45</v>
      </c>
      <c r="D315" s="9" t="s">
        <v>12</v>
      </c>
      <c r="E315" s="11" t="s">
        <v>59</v>
      </c>
      <c r="F315" s="10"/>
      <c r="G315" s="10">
        <f>1680-1520</f>
        <v>160</v>
      </c>
      <c r="H315" s="10" t="s">
        <v>10</v>
      </c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4.25" customHeight="1" x14ac:dyDescent="0.3">
      <c r="A316" s="8"/>
      <c r="B316" s="38">
        <v>45586</v>
      </c>
      <c r="C316" s="9" t="s">
        <v>11</v>
      </c>
      <c r="D316" s="9" t="s">
        <v>12</v>
      </c>
      <c r="E316" s="11" t="s">
        <v>13</v>
      </c>
      <c r="F316" s="10"/>
      <c r="G316" s="10">
        <f>144-120</f>
        <v>24</v>
      </c>
      <c r="H316" s="10" t="s">
        <v>10</v>
      </c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4.25" customHeight="1" x14ac:dyDescent="0.3">
      <c r="A317" s="8"/>
      <c r="B317" s="38">
        <v>45586</v>
      </c>
      <c r="C317" s="9" t="s">
        <v>105</v>
      </c>
      <c r="D317" s="9" t="s">
        <v>20</v>
      </c>
      <c r="E317" s="11" t="s">
        <v>62</v>
      </c>
      <c r="F317" s="10"/>
      <c r="G317" s="10">
        <f>5.5-2.7</f>
        <v>2.8</v>
      </c>
      <c r="H317" s="10" t="s">
        <v>10</v>
      </c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4.25" customHeight="1" x14ac:dyDescent="0.3">
      <c r="A318" s="8"/>
      <c r="B318" s="38">
        <v>45586</v>
      </c>
      <c r="C318" s="9" t="s">
        <v>79</v>
      </c>
      <c r="D318" s="9" t="s">
        <v>20</v>
      </c>
      <c r="E318" s="11" t="s">
        <v>82</v>
      </c>
      <c r="F318" s="10"/>
      <c r="G318" s="10">
        <f>5.8-3.7</f>
        <v>2.0999999999999996</v>
      </c>
      <c r="H318" s="10" t="s">
        <v>10</v>
      </c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4.25" customHeight="1" x14ac:dyDescent="0.3">
      <c r="A319" s="8"/>
      <c r="B319" s="38">
        <v>45586</v>
      </c>
      <c r="C319" s="9" t="s">
        <v>24</v>
      </c>
      <c r="D319" s="9" t="s">
        <v>12</v>
      </c>
      <c r="E319" s="11" t="s">
        <v>25</v>
      </c>
      <c r="F319" s="10">
        <v>30</v>
      </c>
      <c r="G319" s="10"/>
      <c r="H319" s="10" t="s">
        <v>18</v>
      </c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4.25" customHeight="1" x14ac:dyDescent="0.3">
      <c r="A320" s="8"/>
      <c r="B320" s="38">
        <v>45586</v>
      </c>
      <c r="C320" s="26" t="s">
        <v>87</v>
      </c>
      <c r="D320" s="9" t="s">
        <v>20</v>
      </c>
      <c r="E320" s="11" t="s">
        <v>88</v>
      </c>
      <c r="F320" s="10"/>
      <c r="G320" s="10">
        <v>3.2</v>
      </c>
      <c r="H320" s="10" t="s">
        <v>10</v>
      </c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4.25" customHeight="1" x14ac:dyDescent="0.3">
      <c r="A321" s="8"/>
      <c r="B321" s="38">
        <v>45586</v>
      </c>
      <c r="C321" s="39" t="s">
        <v>90</v>
      </c>
      <c r="D321" s="9" t="s">
        <v>20</v>
      </c>
      <c r="E321" s="11" t="s">
        <v>91</v>
      </c>
      <c r="F321" s="10"/>
      <c r="G321" s="10">
        <v>5.0999999999999996</v>
      </c>
      <c r="H321" s="10" t="s">
        <v>10</v>
      </c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4.25" customHeight="1" x14ac:dyDescent="0.3">
      <c r="A322" s="8"/>
      <c r="B322" s="38">
        <v>45587</v>
      </c>
      <c r="C322" s="9" t="s">
        <v>79</v>
      </c>
      <c r="D322" s="9" t="s">
        <v>20</v>
      </c>
      <c r="E322" s="11" t="s">
        <v>82</v>
      </c>
      <c r="F322" s="10"/>
      <c r="G322" s="10">
        <v>1</v>
      </c>
      <c r="H322" s="10" t="s">
        <v>10</v>
      </c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4.25" customHeight="1" x14ac:dyDescent="0.3">
      <c r="A323" s="8"/>
      <c r="B323" s="38">
        <v>45587</v>
      </c>
      <c r="C323" s="9" t="s">
        <v>28</v>
      </c>
      <c r="D323" s="9" t="s">
        <v>8</v>
      </c>
      <c r="E323" s="11" t="s">
        <v>100</v>
      </c>
      <c r="F323" s="10"/>
      <c r="G323" s="10">
        <v>1</v>
      </c>
      <c r="H323" s="10" t="s">
        <v>10</v>
      </c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4.25" customHeight="1" x14ac:dyDescent="0.3">
      <c r="A324" s="8"/>
      <c r="B324" s="38">
        <v>45587</v>
      </c>
      <c r="C324" s="9" t="s">
        <v>30</v>
      </c>
      <c r="D324" s="9" t="s">
        <v>8</v>
      </c>
      <c r="E324" s="11" t="s">
        <v>31</v>
      </c>
      <c r="F324" s="10"/>
      <c r="G324" s="10">
        <v>1</v>
      </c>
      <c r="H324" s="10" t="s">
        <v>10</v>
      </c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4.25" customHeight="1" x14ac:dyDescent="0.3">
      <c r="A325" s="8"/>
      <c r="B325" s="38">
        <v>45588</v>
      </c>
      <c r="C325" s="9" t="s">
        <v>75</v>
      </c>
      <c r="D325" s="9" t="s">
        <v>8</v>
      </c>
      <c r="E325" s="11" t="s">
        <v>76</v>
      </c>
      <c r="F325" s="10">
        <v>1</v>
      </c>
      <c r="G325" s="10"/>
      <c r="H325" s="10" t="s">
        <v>18</v>
      </c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4.25" customHeight="1" x14ac:dyDescent="0.3">
      <c r="A326" s="8"/>
      <c r="B326" s="38">
        <v>45588</v>
      </c>
      <c r="C326" s="9" t="s">
        <v>28</v>
      </c>
      <c r="D326" s="9" t="s">
        <v>8</v>
      </c>
      <c r="E326" s="11" t="s">
        <v>100</v>
      </c>
      <c r="F326" s="10">
        <v>5</v>
      </c>
      <c r="G326" s="10"/>
      <c r="H326" s="10" t="s">
        <v>18</v>
      </c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4.25" customHeight="1" x14ac:dyDescent="0.3">
      <c r="A327" s="8"/>
      <c r="B327" s="38">
        <v>45588</v>
      </c>
      <c r="C327" s="9" t="s">
        <v>30</v>
      </c>
      <c r="D327" s="9" t="s">
        <v>8</v>
      </c>
      <c r="E327" s="11" t="s">
        <v>31</v>
      </c>
      <c r="F327" s="10">
        <v>1</v>
      </c>
      <c r="G327" s="10"/>
      <c r="H327" s="10" t="s">
        <v>18</v>
      </c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4.25" customHeight="1" x14ac:dyDescent="0.3">
      <c r="A328" s="8"/>
      <c r="B328" s="38">
        <v>45588</v>
      </c>
      <c r="C328" s="26" t="s">
        <v>101</v>
      </c>
      <c r="D328" s="9" t="s">
        <v>8</v>
      </c>
      <c r="E328" s="11" t="s">
        <v>102</v>
      </c>
      <c r="F328" s="10">
        <v>1</v>
      </c>
      <c r="G328" s="10"/>
      <c r="H328" s="10" t="s">
        <v>18</v>
      </c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4.25" customHeight="1" x14ac:dyDescent="0.3">
      <c r="A329" s="8"/>
      <c r="B329" s="38">
        <v>45588</v>
      </c>
      <c r="C329" s="9" t="s">
        <v>55</v>
      </c>
      <c r="D329" s="9" t="s">
        <v>12</v>
      </c>
      <c r="E329" s="11" t="s">
        <v>56</v>
      </c>
      <c r="F329" s="10">
        <f>20*30</f>
        <v>600</v>
      </c>
      <c r="G329" s="10"/>
      <c r="H329" s="10" t="s">
        <v>18</v>
      </c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4.25" customHeight="1" x14ac:dyDescent="0.3">
      <c r="A330" s="8"/>
      <c r="B330" s="38">
        <v>45588</v>
      </c>
      <c r="C330" s="9" t="s">
        <v>75</v>
      </c>
      <c r="D330" s="9" t="s">
        <v>8</v>
      </c>
      <c r="E330" s="11" t="s">
        <v>76</v>
      </c>
      <c r="F330" s="10"/>
      <c r="G330" s="10">
        <v>1</v>
      </c>
      <c r="H330" s="10" t="s">
        <v>10</v>
      </c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4.25" customHeight="1" x14ac:dyDescent="0.3">
      <c r="A331" s="8"/>
      <c r="B331" s="38">
        <v>45588</v>
      </c>
      <c r="C331" s="9" t="s">
        <v>7</v>
      </c>
      <c r="D331" s="9" t="s">
        <v>8</v>
      </c>
      <c r="E331" s="11" t="s">
        <v>9</v>
      </c>
      <c r="F331" s="10"/>
      <c r="G331" s="10">
        <v>1</v>
      </c>
      <c r="H331" s="10" t="s">
        <v>10</v>
      </c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4.25" customHeight="1" x14ac:dyDescent="0.3">
      <c r="A332" s="8"/>
      <c r="B332" s="38">
        <v>45589</v>
      </c>
      <c r="C332" s="9" t="s">
        <v>7</v>
      </c>
      <c r="D332" s="9" t="s">
        <v>8</v>
      </c>
      <c r="E332" s="11" t="s">
        <v>9</v>
      </c>
      <c r="F332" s="10">
        <v>4</v>
      </c>
      <c r="G332" s="10"/>
      <c r="H332" s="10" t="s">
        <v>18</v>
      </c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4.25" customHeight="1" x14ac:dyDescent="0.3">
      <c r="A333" s="8"/>
      <c r="B333" s="38">
        <v>45589</v>
      </c>
      <c r="C333" s="20" t="s">
        <v>189</v>
      </c>
      <c r="D333" s="9" t="s">
        <v>12</v>
      </c>
      <c r="E333" s="11" t="s">
        <v>103</v>
      </c>
      <c r="F333" s="10">
        <f>6*3</f>
        <v>18</v>
      </c>
      <c r="G333" s="10"/>
      <c r="H333" s="10" t="s">
        <v>18</v>
      </c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4.25" customHeight="1" x14ac:dyDescent="0.3">
      <c r="A334" s="8"/>
      <c r="B334" s="38">
        <v>45590</v>
      </c>
      <c r="C334" s="42" t="s">
        <v>106</v>
      </c>
      <c r="D334" s="9" t="s">
        <v>12</v>
      </c>
      <c r="E334" s="11" t="s">
        <v>107</v>
      </c>
      <c r="F334" s="10"/>
      <c r="G334" s="10">
        <v>1</v>
      </c>
      <c r="H334" s="10" t="s">
        <v>10</v>
      </c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4.25" customHeight="1" x14ac:dyDescent="0.3">
      <c r="A335" s="8"/>
      <c r="B335" s="38">
        <v>45590</v>
      </c>
      <c r="C335" s="9" t="s">
        <v>45</v>
      </c>
      <c r="D335" s="9" t="s">
        <v>12</v>
      </c>
      <c r="E335" s="11" t="s">
        <v>59</v>
      </c>
      <c r="F335" s="10"/>
      <c r="G335" s="10">
        <v>80</v>
      </c>
      <c r="H335" s="10" t="s">
        <v>10</v>
      </c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4.25" customHeight="1" x14ac:dyDescent="0.3">
      <c r="A336" s="8"/>
      <c r="B336" s="38">
        <v>45590</v>
      </c>
      <c r="C336" s="9" t="s">
        <v>14</v>
      </c>
      <c r="D336" s="9" t="s">
        <v>12</v>
      </c>
      <c r="E336" s="11" t="s">
        <v>15</v>
      </c>
      <c r="F336" s="10"/>
      <c r="G336" s="10">
        <v>48</v>
      </c>
      <c r="H336" s="10" t="s">
        <v>10</v>
      </c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4.25" customHeight="1" x14ac:dyDescent="0.3">
      <c r="A337" s="8"/>
      <c r="B337" s="38">
        <v>45590</v>
      </c>
      <c r="C337" s="9" t="s">
        <v>7</v>
      </c>
      <c r="D337" s="9" t="s">
        <v>8</v>
      </c>
      <c r="E337" s="11" t="s">
        <v>9</v>
      </c>
      <c r="F337" s="10"/>
      <c r="G337" s="10">
        <v>1</v>
      </c>
      <c r="H337" s="10" t="s">
        <v>10</v>
      </c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4.25" customHeight="1" x14ac:dyDescent="0.3">
      <c r="A338" s="8"/>
      <c r="B338" s="38">
        <v>45591</v>
      </c>
      <c r="C338" s="9" t="s">
        <v>7</v>
      </c>
      <c r="D338" s="9" t="s">
        <v>8</v>
      </c>
      <c r="E338" s="11" t="s">
        <v>9</v>
      </c>
      <c r="F338" s="10"/>
      <c r="G338" s="10">
        <v>1</v>
      </c>
      <c r="H338" s="10" t="s">
        <v>10</v>
      </c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4.25" customHeight="1" x14ac:dyDescent="0.3">
      <c r="A339" s="8"/>
      <c r="B339" s="38">
        <v>45591</v>
      </c>
      <c r="C339" s="9" t="s">
        <v>28</v>
      </c>
      <c r="D339" s="9" t="s">
        <v>8</v>
      </c>
      <c r="E339" s="11" t="s">
        <v>100</v>
      </c>
      <c r="F339" s="10"/>
      <c r="G339" s="10">
        <v>1</v>
      </c>
      <c r="H339" s="10" t="s">
        <v>10</v>
      </c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4.25" customHeight="1" x14ac:dyDescent="0.3">
      <c r="A340" s="8"/>
      <c r="B340" s="38">
        <v>45592</v>
      </c>
      <c r="C340" s="9" t="s">
        <v>98</v>
      </c>
      <c r="D340" s="9" t="s">
        <v>12</v>
      </c>
      <c r="E340" s="11" t="s">
        <v>99</v>
      </c>
      <c r="F340" s="10"/>
      <c r="G340" s="10">
        <v>24</v>
      </c>
      <c r="H340" s="10" t="s">
        <v>10</v>
      </c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4.25" customHeight="1" x14ac:dyDescent="0.3">
      <c r="A341" s="8"/>
      <c r="B341" s="38">
        <v>45592</v>
      </c>
      <c r="C341" s="9" t="s">
        <v>55</v>
      </c>
      <c r="D341" s="9" t="s">
        <v>12</v>
      </c>
      <c r="E341" s="11" t="s">
        <v>56</v>
      </c>
      <c r="F341" s="10"/>
      <c r="G341" s="10">
        <v>30</v>
      </c>
      <c r="H341" s="10" t="s">
        <v>10</v>
      </c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4.25" customHeight="1" x14ac:dyDescent="0.3">
      <c r="A342" s="8"/>
      <c r="B342" s="38">
        <v>45592</v>
      </c>
      <c r="C342" s="8" t="s">
        <v>93</v>
      </c>
      <c r="D342" s="9" t="s">
        <v>12</v>
      </c>
      <c r="E342" s="11" t="s">
        <v>94</v>
      </c>
      <c r="F342" s="10"/>
      <c r="G342" s="10">
        <v>10</v>
      </c>
      <c r="H342" s="10" t="s">
        <v>10</v>
      </c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4.25" customHeight="1" x14ac:dyDescent="0.3">
      <c r="A343" s="8"/>
      <c r="B343" s="38">
        <v>45592</v>
      </c>
      <c r="C343" s="9" t="s">
        <v>11</v>
      </c>
      <c r="D343" s="9" t="s">
        <v>12</v>
      </c>
      <c r="E343" s="11" t="s">
        <v>13</v>
      </c>
      <c r="F343" s="10"/>
      <c r="G343" s="10">
        <v>24</v>
      </c>
      <c r="H343" s="10" t="s">
        <v>10</v>
      </c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4.25" customHeight="1" x14ac:dyDescent="0.3">
      <c r="A344" s="8"/>
      <c r="B344" s="38">
        <v>45592</v>
      </c>
      <c r="C344" s="9" t="s">
        <v>57</v>
      </c>
      <c r="D344" s="9" t="s">
        <v>12</v>
      </c>
      <c r="E344" s="11" t="s">
        <v>58</v>
      </c>
      <c r="F344" s="10"/>
      <c r="G344" s="10">
        <v>10</v>
      </c>
      <c r="H344" s="10" t="s">
        <v>10</v>
      </c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4.25" customHeight="1" x14ac:dyDescent="0.3">
      <c r="A345" s="8"/>
      <c r="B345" s="38">
        <v>45592</v>
      </c>
      <c r="C345" s="9" t="s">
        <v>7</v>
      </c>
      <c r="D345" s="9" t="s">
        <v>8</v>
      </c>
      <c r="E345" s="11" t="s">
        <v>9</v>
      </c>
      <c r="F345" s="10"/>
      <c r="G345" s="10">
        <v>1</v>
      </c>
      <c r="H345" s="10" t="s">
        <v>10</v>
      </c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4.25" customHeight="1" x14ac:dyDescent="0.3">
      <c r="A346" s="8"/>
      <c r="B346" s="38">
        <v>45592</v>
      </c>
      <c r="C346" s="9" t="s">
        <v>28</v>
      </c>
      <c r="D346" s="9" t="s">
        <v>8</v>
      </c>
      <c r="E346" s="11" t="s">
        <v>100</v>
      </c>
      <c r="F346" s="10"/>
      <c r="G346" s="10">
        <v>2</v>
      </c>
      <c r="H346" s="10" t="s">
        <v>10</v>
      </c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4.25" customHeight="1" x14ac:dyDescent="0.3">
      <c r="A347" s="8"/>
      <c r="B347" s="38">
        <v>45592</v>
      </c>
      <c r="C347" s="9" t="s">
        <v>75</v>
      </c>
      <c r="D347" s="9" t="s">
        <v>8</v>
      </c>
      <c r="E347" s="11" t="s">
        <v>76</v>
      </c>
      <c r="F347" s="10"/>
      <c r="G347" s="10">
        <v>1</v>
      </c>
      <c r="H347" s="10" t="s">
        <v>10</v>
      </c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4.25" customHeight="1" x14ac:dyDescent="0.3">
      <c r="A348" s="8"/>
      <c r="B348" s="38">
        <v>45592</v>
      </c>
      <c r="C348" s="9" t="s">
        <v>30</v>
      </c>
      <c r="D348" s="9" t="s">
        <v>8</v>
      </c>
      <c r="E348" s="11" t="s">
        <v>31</v>
      </c>
      <c r="F348" s="10"/>
      <c r="G348" s="10">
        <v>1</v>
      </c>
      <c r="H348" s="10" t="s">
        <v>10</v>
      </c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4.25" customHeight="1" x14ac:dyDescent="0.3">
      <c r="A349" s="8"/>
      <c r="B349" s="38">
        <v>45592</v>
      </c>
      <c r="C349" s="43" t="s">
        <v>39</v>
      </c>
      <c r="D349" s="40" t="s">
        <v>20</v>
      </c>
      <c r="E349" s="41" t="s">
        <v>40</v>
      </c>
      <c r="F349" s="10">
        <v>10</v>
      </c>
      <c r="G349" s="10"/>
      <c r="H349" s="10" t="s">
        <v>18</v>
      </c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4.25" customHeight="1" x14ac:dyDescent="0.3">
      <c r="A350" s="8"/>
      <c r="B350" s="38">
        <v>45592</v>
      </c>
      <c r="C350" s="44" t="s">
        <v>41</v>
      </c>
      <c r="D350" s="45" t="s">
        <v>20</v>
      </c>
      <c r="E350" s="46" t="s">
        <v>42</v>
      </c>
      <c r="F350" s="10">
        <v>10</v>
      </c>
      <c r="G350" s="10"/>
      <c r="H350" s="10" t="s">
        <v>18</v>
      </c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4.25" customHeight="1" x14ac:dyDescent="0.3">
      <c r="A351" s="8"/>
      <c r="B351" s="38">
        <v>45592</v>
      </c>
      <c r="C351" s="20" t="s">
        <v>43</v>
      </c>
      <c r="D351" s="9" t="s">
        <v>20</v>
      </c>
      <c r="E351" s="11" t="s">
        <v>44</v>
      </c>
      <c r="F351" s="10">
        <v>12</v>
      </c>
      <c r="G351" s="10"/>
      <c r="H351" s="10" t="s">
        <v>18</v>
      </c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4.25" customHeight="1" x14ac:dyDescent="0.3">
      <c r="A352" s="8"/>
      <c r="B352" s="38">
        <v>45593</v>
      </c>
      <c r="C352" s="9" t="s">
        <v>30</v>
      </c>
      <c r="D352" s="9" t="s">
        <v>8</v>
      </c>
      <c r="E352" s="11" t="s">
        <v>31</v>
      </c>
      <c r="F352" s="10">
        <v>1</v>
      </c>
      <c r="G352" s="10"/>
      <c r="H352" s="10" t="s">
        <v>18</v>
      </c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4.25" customHeight="1" x14ac:dyDescent="0.3">
      <c r="A353" s="8"/>
      <c r="B353" s="38">
        <v>45593</v>
      </c>
      <c r="C353" s="9" t="s">
        <v>7</v>
      </c>
      <c r="D353" s="9" t="s">
        <v>8</v>
      </c>
      <c r="E353" s="11" t="s">
        <v>9</v>
      </c>
      <c r="F353" s="10"/>
      <c r="G353" s="10">
        <v>1</v>
      </c>
      <c r="H353" s="10" t="s">
        <v>10</v>
      </c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4.25" customHeight="1" x14ac:dyDescent="0.3">
      <c r="A354" s="8"/>
      <c r="B354" s="38">
        <v>45593</v>
      </c>
      <c r="C354" s="26" t="s">
        <v>101</v>
      </c>
      <c r="D354" s="9" t="s">
        <v>8</v>
      </c>
      <c r="E354" s="11" t="s">
        <v>102</v>
      </c>
      <c r="F354" s="10"/>
      <c r="G354" s="10">
        <v>1</v>
      </c>
      <c r="H354" s="10" t="s">
        <v>10</v>
      </c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4.25" customHeight="1" x14ac:dyDescent="0.3">
      <c r="A355" s="8"/>
      <c r="B355" s="38">
        <v>45593</v>
      </c>
      <c r="C355" s="9" t="s">
        <v>189</v>
      </c>
      <c r="D355" s="9" t="s">
        <v>12</v>
      </c>
      <c r="E355" s="11" t="s">
        <v>92</v>
      </c>
      <c r="F355" s="10"/>
      <c r="G355" s="10">
        <f>42-18</f>
        <v>24</v>
      </c>
      <c r="H355" s="10" t="s">
        <v>10</v>
      </c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4.25" customHeight="1" x14ac:dyDescent="0.3">
      <c r="A356" s="8"/>
      <c r="B356" s="38">
        <v>45593</v>
      </c>
      <c r="C356" s="20" t="s">
        <v>43</v>
      </c>
      <c r="D356" s="9" t="s">
        <v>20</v>
      </c>
      <c r="E356" s="11" t="s">
        <v>44</v>
      </c>
      <c r="F356" s="10"/>
      <c r="G356" s="10">
        <v>5.8</v>
      </c>
      <c r="H356" s="10" t="s">
        <v>10</v>
      </c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4.25" customHeight="1" x14ac:dyDescent="0.3">
      <c r="A357" s="8"/>
      <c r="B357" s="38">
        <v>45593</v>
      </c>
      <c r="C357" s="20" t="s">
        <v>77</v>
      </c>
      <c r="D357" s="9" t="s">
        <v>20</v>
      </c>
      <c r="E357" s="11" t="s">
        <v>78</v>
      </c>
      <c r="F357" s="10">
        <v>1</v>
      </c>
      <c r="G357" s="10"/>
      <c r="H357" s="10" t="s">
        <v>18</v>
      </c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4.25" customHeight="1" x14ac:dyDescent="0.3">
      <c r="A358" s="8"/>
      <c r="B358" s="38">
        <v>45593</v>
      </c>
      <c r="C358" s="9" t="s">
        <v>51</v>
      </c>
      <c r="D358" s="9" t="s">
        <v>20</v>
      </c>
      <c r="E358" s="11" t="s">
        <v>52</v>
      </c>
      <c r="F358" s="10">
        <v>9.6</v>
      </c>
      <c r="G358" s="10"/>
      <c r="H358" s="10" t="s">
        <v>18</v>
      </c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4.25" customHeight="1" x14ac:dyDescent="0.3">
      <c r="A359" s="8"/>
      <c r="B359" s="38">
        <v>45593</v>
      </c>
      <c r="C359" s="43" t="s">
        <v>39</v>
      </c>
      <c r="D359" s="40" t="s">
        <v>20</v>
      </c>
      <c r="E359" s="41" t="s">
        <v>40</v>
      </c>
      <c r="F359" s="10"/>
      <c r="G359" s="10">
        <v>10.3</v>
      </c>
      <c r="H359" s="10" t="s">
        <v>10</v>
      </c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4.25" customHeight="1" x14ac:dyDescent="0.3">
      <c r="A360" s="8"/>
      <c r="B360" s="38">
        <v>45593</v>
      </c>
      <c r="C360" s="44" t="s">
        <v>41</v>
      </c>
      <c r="D360" s="45" t="s">
        <v>20</v>
      </c>
      <c r="E360" s="46" t="s">
        <v>42</v>
      </c>
      <c r="F360" s="10"/>
      <c r="G360" s="10">
        <v>9.6999999999999993</v>
      </c>
      <c r="H360" s="10" t="s">
        <v>10</v>
      </c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4.25" customHeight="1" x14ac:dyDescent="0.3">
      <c r="A361" s="8"/>
      <c r="B361" s="38">
        <v>45593</v>
      </c>
      <c r="C361" s="9" t="s">
        <v>70</v>
      </c>
      <c r="D361" s="9" t="s">
        <v>20</v>
      </c>
      <c r="E361" s="11" t="s">
        <v>72</v>
      </c>
      <c r="F361" s="10"/>
      <c r="G361" s="10">
        <v>1.1000000000000001</v>
      </c>
      <c r="H361" s="10" t="s">
        <v>10</v>
      </c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4.25" customHeight="1" x14ac:dyDescent="0.3">
      <c r="A362" s="8"/>
      <c r="B362" s="38">
        <v>45593</v>
      </c>
      <c r="C362" s="9" t="s">
        <v>55</v>
      </c>
      <c r="D362" s="9" t="s">
        <v>12</v>
      </c>
      <c r="E362" s="11" t="s">
        <v>56</v>
      </c>
      <c r="F362" s="10"/>
      <c r="G362" s="10">
        <v>300</v>
      </c>
      <c r="H362" s="10" t="s">
        <v>10</v>
      </c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4.25" customHeight="1" x14ac:dyDescent="0.3">
      <c r="A363" s="8"/>
      <c r="B363" s="38">
        <v>45593</v>
      </c>
      <c r="C363" s="9" t="s">
        <v>57</v>
      </c>
      <c r="D363" s="9" t="s">
        <v>12</v>
      </c>
      <c r="E363" s="11" t="s">
        <v>58</v>
      </c>
      <c r="F363" s="10"/>
      <c r="G363" s="10">
        <v>70</v>
      </c>
      <c r="H363" s="10" t="s">
        <v>10</v>
      </c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4.25" customHeight="1" x14ac:dyDescent="0.3">
      <c r="A364" s="8"/>
      <c r="B364" s="38">
        <v>45593</v>
      </c>
      <c r="C364" s="9" t="s">
        <v>105</v>
      </c>
      <c r="D364" s="9" t="s">
        <v>20</v>
      </c>
      <c r="E364" s="11" t="s">
        <v>62</v>
      </c>
      <c r="F364" s="10"/>
      <c r="G364" s="10">
        <v>2</v>
      </c>
      <c r="H364" s="10" t="s">
        <v>10</v>
      </c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4.25" customHeight="1" x14ac:dyDescent="0.3">
      <c r="A365" s="8"/>
      <c r="B365" s="38">
        <v>45600</v>
      </c>
      <c r="C365" s="9" t="s">
        <v>30</v>
      </c>
      <c r="D365" s="9" t="s">
        <v>8</v>
      </c>
      <c r="E365" s="11" t="s">
        <v>31</v>
      </c>
      <c r="F365" s="10"/>
      <c r="G365" s="10">
        <v>1</v>
      </c>
      <c r="H365" s="10" t="s">
        <v>10</v>
      </c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4.25" customHeight="1" x14ac:dyDescent="0.3">
      <c r="A366" s="8"/>
      <c r="B366" s="38">
        <v>45600</v>
      </c>
      <c r="C366" s="9" t="s">
        <v>7</v>
      </c>
      <c r="D366" s="9" t="s">
        <v>8</v>
      </c>
      <c r="E366" s="11" t="s">
        <v>9</v>
      </c>
      <c r="F366" s="10">
        <v>1</v>
      </c>
      <c r="G366" s="10"/>
      <c r="H366" s="10" t="s">
        <v>18</v>
      </c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4.25" customHeight="1" x14ac:dyDescent="0.3">
      <c r="A367" s="8"/>
      <c r="B367" s="38">
        <v>45600</v>
      </c>
      <c r="C367" s="9" t="s">
        <v>75</v>
      </c>
      <c r="D367" s="9" t="s">
        <v>8</v>
      </c>
      <c r="E367" s="11" t="s">
        <v>76</v>
      </c>
      <c r="F367" s="10">
        <v>1</v>
      </c>
      <c r="G367" s="10"/>
      <c r="H367" s="10" t="s">
        <v>18</v>
      </c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4.25" customHeight="1" x14ac:dyDescent="0.3">
      <c r="A368" s="8"/>
      <c r="B368" s="38">
        <v>45600</v>
      </c>
      <c r="C368" s="9" t="s">
        <v>189</v>
      </c>
      <c r="D368" s="9" t="s">
        <v>12</v>
      </c>
      <c r="E368" s="11" t="s">
        <v>92</v>
      </c>
      <c r="F368" s="10"/>
      <c r="G368" s="10">
        <v>18</v>
      </c>
      <c r="H368" s="10" t="s">
        <v>10</v>
      </c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4.25" customHeight="1" x14ac:dyDescent="0.3">
      <c r="A369" s="8"/>
      <c r="B369" s="38">
        <v>45600</v>
      </c>
      <c r="C369" s="9" t="s">
        <v>43</v>
      </c>
      <c r="D369" s="9" t="s">
        <v>20</v>
      </c>
      <c r="E369" s="11" t="s">
        <v>44</v>
      </c>
      <c r="F369" s="10">
        <v>2.6</v>
      </c>
      <c r="G369" s="10"/>
      <c r="H369" s="10" t="s">
        <v>18</v>
      </c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4.25" customHeight="1" x14ac:dyDescent="0.3">
      <c r="A370" s="8"/>
      <c r="B370" s="38">
        <v>45600</v>
      </c>
      <c r="C370" s="9" t="s">
        <v>77</v>
      </c>
      <c r="D370" s="9" t="s">
        <v>20</v>
      </c>
      <c r="E370" s="11" t="s">
        <v>78</v>
      </c>
      <c r="F370" s="10"/>
      <c r="G370" s="10">
        <v>1</v>
      </c>
      <c r="H370" s="10" t="s">
        <v>10</v>
      </c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4.25" customHeight="1" x14ac:dyDescent="0.3">
      <c r="A371" s="8"/>
      <c r="B371" s="38">
        <v>45600</v>
      </c>
      <c r="C371" s="9" t="s">
        <v>73</v>
      </c>
      <c r="D371" s="9" t="s">
        <v>71</v>
      </c>
      <c r="E371" s="11" t="s">
        <v>74</v>
      </c>
      <c r="F371" s="10">
        <v>3</v>
      </c>
      <c r="G371" s="10"/>
      <c r="H371" s="10" t="s">
        <v>18</v>
      </c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4.25" customHeight="1" x14ac:dyDescent="0.3">
      <c r="A372" s="8"/>
      <c r="B372" s="38">
        <v>45600</v>
      </c>
      <c r="C372" s="9" t="s">
        <v>73</v>
      </c>
      <c r="D372" s="9" t="s">
        <v>71</v>
      </c>
      <c r="E372" s="11" t="s">
        <v>74</v>
      </c>
      <c r="F372" s="10"/>
      <c r="G372" s="10">
        <v>2</v>
      </c>
      <c r="H372" s="10" t="s">
        <v>10</v>
      </c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4.25" customHeight="1" x14ac:dyDescent="0.3">
      <c r="A373" s="8"/>
      <c r="B373" s="38">
        <v>45600</v>
      </c>
      <c r="C373" s="9" t="s">
        <v>41</v>
      </c>
      <c r="D373" s="9" t="s">
        <v>20</v>
      </c>
      <c r="E373" s="11" t="s">
        <v>42</v>
      </c>
      <c r="F373" s="10">
        <v>5</v>
      </c>
      <c r="G373" s="10"/>
      <c r="H373" s="10" t="s">
        <v>18</v>
      </c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4.25" customHeight="1" x14ac:dyDescent="0.3">
      <c r="A374" s="8"/>
      <c r="B374" s="38">
        <v>45600</v>
      </c>
      <c r="C374" s="9" t="s">
        <v>41</v>
      </c>
      <c r="D374" s="9" t="s">
        <v>20</v>
      </c>
      <c r="E374" s="11" t="s">
        <v>42</v>
      </c>
      <c r="F374" s="10"/>
      <c r="G374" s="10">
        <v>2.7</v>
      </c>
      <c r="H374" s="10" t="s">
        <v>10</v>
      </c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4.25" customHeight="1" x14ac:dyDescent="0.3">
      <c r="A375" s="8"/>
      <c r="B375" s="38">
        <v>45600</v>
      </c>
      <c r="C375" s="9" t="s">
        <v>51</v>
      </c>
      <c r="D375" s="9" t="s">
        <v>20</v>
      </c>
      <c r="E375" s="11" t="s">
        <v>52</v>
      </c>
      <c r="F375" s="10"/>
      <c r="G375" s="10">
        <v>5</v>
      </c>
      <c r="H375" s="10" t="s">
        <v>10</v>
      </c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4.25" customHeight="1" x14ac:dyDescent="0.3">
      <c r="A376" s="8"/>
      <c r="B376" s="38">
        <v>45600</v>
      </c>
      <c r="C376" s="8" t="s">
        <v>93</v>
      </c>
      <c r="D376" s="9" t="s">
        <v>12</v>
      </c>
      <c r="E376" s="11" t="s">
        <v>94</v>
      </c>
      <c r="F376" s="10"/>
      <c r="G376" s="10">
        <v>10</v>
      </c>
      <c r="H376" s="10" t="s">
        <v>10</v>
      </c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4.25" customHeight="1" x14ac:dyDescent="0.3">
      <c r="A377" s="8"/>
      <c r="B377" s="38">
        <v>45600</v>
      </c>
      <c r="C377" s="9" t="s">
        <v>80</v>
      </c>
      <c r="D377" s="9" t="s">
        <v>71</v>
      </c>
      <c r="E377" s="11" t="s">
        <v>81</v>
      </c>
      <c r="F377" s="10"/>
      <c r="G377" s="10">
        <v>1</v>
      </c>
      <c r="H377" s="10" t="s">
        <v>10</v>
      </c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4.25" customHeight="1" x14ac:dyDescent="0.3">
      <c r="A378" s="8"/>
      <c r="B378" s="38">
        <v>45600</v>
      </c>
      <c r="C378" s="9" t="s">
        <v>95</v>
      </c>
      <c r="D378" s="9" t="s">
        <v>12</v>
      </c>
      <c r="E378" s="11" t="s">
        <v>96</v>
      </c>
      <c r="F378" s="10"/>
      <c r="G378" s="10">
        <v>120</v>
      </c>
      <c r="H378" s="10" t="s">
        <v>10</v>
      </c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4.25" customHeight="1" x14ac:dyDescent="0.3">
      <c r="A379" s="8"/>
      <c r="B379" s="38">
        <v>45600</v>
      </c>
      <c r="C379" s="9" t="s">
        <v>70</v>
      </c>
      <c r="D379" s="9" t="s">
        <v>71</v>
      </c>
      <c r="E379" s="11" t="s">
        <v>72</v>
      </c>
      <c r="F379" s="10">
        <v>2</v>
      </c>
      <c r="G379" s="10"/>
      <c r="H379" s="10" t="s">
        <v>18</v>
      </c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4.25" customHeight="1" x14ac:dyDescent="0.3">
      <c r="A380" s="8"/>
      <c r="B380" s="38">
        <v>45600</v>
      </c>
      <c r="C380" s="9" t="s">
        <v>70</v>
      </c>
      <c r="D380" s="9" t="s">
        <v>71</v>
      </c>
      <c r="E380" s="11" t="s">
        <v>72</v>
      </c>
      <c r="F380" s="10"/>
      <c r="G380" s="10">
        <v>1.3</v>
      </c>
      <c r="H380" s="10" t="s">
        <v>10</v>
      </c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4.25" customHeight="1" x14ac:dyDescent="0.3">
      <c r="A381" s="8"/>
      <c r="B381" s="38">
        <v>45600</v>
      </c>
      <c r="C381" s="9" t="s">
        <v>68</v>
      </c>
      <c r="D381" s="9" t="s">
        <v>12</v>
      </c>
      <c r="E381" s="11" t="s">
        <v>69</v>
      </c>
      <c r="F381" s="10">
        <v>8</v>
      </c>
      <c r="G381" s="10"/>
      <c r="H381" s="10" t="s">
        <v>18</v>
      </c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4.25" customHeight="1" x14ac:dyDescent="0.3">
      <c r="A382" s="8"/>
      <c r="B382" s="38">
        <v>45600</v>
      </c>
      <c r="C382" s="9" t="s">
        <v>68</v>
      </c>
      <c r="D382" s="9" t="s">
        <v>12</v>
      </c>
      <c r="E382" s="11" t="s">
        <v>69</v>
      </c>
      <c r="F382" s="10"/>
      <c r="G382" s="10">
        <v>4</v>
      </c>
      <c r="H382" s="10" t="s">
        <v>10</v>
      </c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4.25" customHeight="1" x14ac:dyDescent="0.3">
      <c r="A383" s="8"/>
      <c r="B383" s="38">
        <v>45600</v>
      </c>
      <c r="C383" s="9" t="s">
        <v>55</v>
      </c>
      <c r="D383" s="9" t="s">
        <v>12</v>
      </c>
      <c r="E383" s="11" t="s">
        <v>56</v>
      </c>
      <c r="F383" s="10"/>
      <c r="G383" s="10">
        <v>150</v>
      </c>
      <c r="H383" s="10" t="s">
        <v>10</v>
      </c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4.25" customHeight="1" x14ac:dyDescent="0.3">
      <c r="A384" s="8"/>
      <c r="B384" s="38">
        <v>45600</v>
      </c>
      <c r="C384" s="9" t="s">
        <v>57</v>
      </c>
      <c r="D384" s="9" t="s">
        <v>12</v>
      </c>
      <c r="E384" s="11" t="s">
        <v>58</v>
      </c>
      <c r="F384" s="10"/>
      <c r="G384" s="10">
        <f>2640-2560</f>
        <v>80</v>
      </c>
      <c r="H384" s="10" t="s">
        <v>10</v>
      </c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4.25" customHeight="1" x14ac:dyDescent="0.3">
      <c r="A385" s="8"/>
      <c r="B385" s="38">
        <v>45600</v>
      </c>
      <c r="C385" s="9" t="s">
        <v>98</v>
      </c>
      <c r="D385" s="9" t="s">
        <v>12</v>
      </c>
      <c r="E385" s="11" t="s">
        <v>99</v>
      </c>
      <c r="F385" s="10"/>
      <c r="G385" s="10">
        <v>24</v>
      </c>
      <c r="H385" s="10" t="s">
        <v>10</v>
      </c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4.25" customHeight="1" x14ac:dyDescent="0.3">
      <c r="A386" s="8"/>
      <c r="B386" s="38">
        <v>45600</v>
      </c>
      <c r="C386" s="9" t="s">
        <v>45</v>
      </c>
      <c r="D386" s="9" t="s">
        <v>12</v>
      </c>
      <c r="E386" s="11" t="s">
        <v>59</v>
      </c>
      <c r="F386" s="10"/>
      <c r="G386" s="10">
        <v>160</v>
      </c>
      <c r="H386" s="10" t="s">
        <v>10</v>
      </c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4.25" customHeight="1" x14ac:dyDescent="0.3">
      <c r="A387" s="8"/>
      <c r="B387" s="38">
        <v>45600</v>
      </c>
      <c r="C387" s="9" t="s">
        <v>11</v>
      </c>
      <c r="D387" s="9" t="s">
        <v>12</v>
      </c>
      <c r="E387" s="11" t="s">
        <v>13</v>
      </c>
      <c r="F387" s="10"/>
      <c r="G387" s="10">
        <v>48</v>
      </c>
      <c r="H387" s="10" t="s">
        <v>10</v>
      </c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4.25" customHeight="1" x14ac:dyDescent="0.3">
      <c r="A388" s="8"/>
      <c r="B388" s="38">
        <v>45600</v>
      </c>
      <c r="C388" s="9" t="s">
        <v>105</v>
      </c>
      <c r="D388" s="9" t="s">
        <v>20</v>
      </c>
      <c r="E388" s="11" t="s">
        <v>62</v>
      </c>
      <c r="F388" s="10">
        <v>5</v>
      </c>
      <c r="G388" s="10"/>
      <c r="H388" s="10" t="s">
        <v>18</v>
      </c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4.25" customHeight="1" x14ac:dyDescent="0.3">
      <c r="A389" s="8"/>
      <c r="B389" s="38">
        <v>45600</v>
      </c>
      <c r="C389" s="9" t="s">
        <v>79</v>
      </c>
      <c r="D389" s="9" t="s">
        <v>20</v>
      </c>
      <c r="E389" s="11" t="s">
        <v>82</v>
      </c>
      <c r="F389" s="10"/>
      <c r="G389" s="10">
        <v>2.7</v>
      </c>
      <c r="H389" s="10" t="s">
        <v>10</v>
      </c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4.25" customHeight="1" x14ac:dyDescent="0.3">
      <c r="A390" s="8"/>
      <c r="B390" s="38">
        <v>45600</v>
      </c>
      <c r="C390" s="9" t="s">
        <v>24</v>
      </c>
      <c r="D390" s="9" t="s">
        <v>12</v>
      </c>
      <c r="E390" s="11" t="s">
        <v>25</v>
      </c>
      <c r="F390" s="10"/>
      <c r="G390" s="10">
        <v>40</v>
      </c>
      <c r="H390" s="10" t="s">
        <v>10</v>
      </c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4.25" customHeight="1" x14ac:dyDescent="0.3">
      <c r="A391" s="8"/>
      <c r="B391" s="38">
        <v>45600</v>
      </c>
      <c r="C391" s="9" t="s">
        <v>24</v>
      </c>
      <c r="D391" s="9" t="s">
        <v>12</v>
      </c>
      <c r="E391" s="11" t="s">
        <v>25</v>
      </c>
      <c r="F391" s="10">
        <v>48</v>
      </c>
      <c r="G391" s="10"/>
      <c r="H391" s="10" t="s">
        <v>18</v>
      </c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4.25" customHeight="1" x14ac:dyDescent="0.3">
      <c r="A392" s="8"/>
      <c r="B392" s="38">
        <v>45600</v>
      </c>
      <c r="C392" s="18" t="s">
        <v>108</v>
      </c>
      <c r="D392" s="9" t="s">
        <v>12</v>
      </c>
      <c r="E392" s="11" t="s">
        <v>109</v>
      </c>
      <c r="F392" s="10"/>
      <c r="G392" s="10">
        <v>2</v>
      </c>
      <c r="H392" s="10" t="s">
        <v>10</v>
      </c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4.25" customHeight="1" x14ac:dyDescent="0.3">
      <c r="A393" s="8"/>
      <c r="B393" s="38">
        <v>45601</v>
      </c>
      <c r="C393" s="9" t="s">
        <v>68</v>
      </c>
      <c r="D393" s="9" t="s">
        <v>12</v>
      </c>
      <c r="E393" s="11" t="s">
        <v>69</v>
      </c>
      <c r="F393" s="10">
        <v>8</v>
      </c>
      <c r="G393" s="10"/>
      <c r="H393" s="10" t="s">
        <v>18</v>
      </c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4.25" customHeight="1" x14ac:dyDescent="0.3">
      <c r="A394" s="8"/>
      <c r="B394" s="38">
        <v>45602</v>
      </c>
      <c r="C394" s="18" t="s">
        <v>108</v>
      </c>
      <c r="D394" s="9" t="s">
        <v>12</v>
      </c>
      <c r="E394" s="11" t="s">
        <v>109</v>
      </c>
      <c r="F394" s="10">
        <v>1</v>
      </c>
      <c r="G394" s="10"/>
      <c r="H394" s="10" t="s">
        <v>18</v>
      </c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4.25" customHeight="1" x14ac:dyDescent="0.3">
      <c r="A395" s="8"/>
      <c r="B395" s="38">
        <v>45602</v>
      </c>
      <c r="C395" s="9" t="s">
        <v>30</v>
      </c>
      <c r="D395" s="9" t="s">
        <v>8</v>
      </c>
      <c r="E395" s="11" t="s">
        <v>31</v>
      </c>
      <c r="F395" s="10">
        <v>1</v>
      </c>
      <c r="G395" s="10"/>
      <c r="H395" s="10" t="s">
        <v>18</v>
      </c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4.25" customHeight="1" x14ac:dyDescent="0.3">
      <c r="A396" s="8"/>
      <c r="B396" s="38">
        <v>45602</v>
      </c>
      <c r="C396" s="26" t="s">
        <v>101</v>
      </c>
      <c r="D396" s="9" t="s">
        <v>8</v>
      </c>
      <c r="E396" s="18" t="s">
        <v>102</v>
      </c>
      <c r="F396" s="10">
        <v>1</v>
      </c>
      <c r="G396" s="10"/>
      <c r="H396" s="10" t="s">
        <v>18</v>
      </c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4.25" customHeight="1" x14ac:dyDescent="0.3">
      <c r="A397" s="8"/>
      <c r="B397" s="38">
        <v>45602</v>
      </c>
      <c r="C397" s="9" t="s">
        <v>7</v>
      </c>
      <c r="D397" s="9" t="s">
        <v>8</v>
      </c>
      <c r="E397" s="11" t="s">
        <v>9</v>
      </c>
      <c r="F397" s="10"/>
      <c r="G397" s="10">
        <v>1</v>
      </c>
      <c r="H397" s="10" t="s">
        <v>10</v>
      </c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4.25" customHeight="1" x14ac:dyDescent="0.3">
      <c r="A398" s="8"/>
      <c r="B398" s="38">
        <v>45603</v>
      </c>
      <c r="C398" s="9" t="s">
        <v>39</v>
      </c>
      <c r="D398" s="9" t="s">
        <v>20</v>
      </c>
      <c r="E398" s="11" t="s">
        <v>40</v>
      </c>
      <c r="F398" s="10"/>
      <c r="G398" s="10">
        <v>0.7</v>
      </c>
      <c r="H398" s="10" t="s">
        <v>10</v>
      </c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4.25" customHeight="1" x14ac:dyDescent="0.3">
      <c r="A399" s="8"/>
      <c r="B399" s="38">
        <v>45603</v>
      </c>
      <c r="C399" s="9" t="s">
        <v>51</v>
      </c>
      <c r="D399" s="9" t="s">
        <v>20</v>
      </c>
      <c r="E399" s="11" t="s">
        <v>52</v>
      </c>
      <c r="F399" s="10"/>
      <c r="G399" s="10">
        <v>0.7</v>
      </c>
      <c r="H399" s="10" t="s">
        <v>10</v>
      </c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4.25" customHeight="1" x14ac:dyDescent="0.3">
      <c r="A400" s="8"/>
      <c r="B400" s="38">
        <v>45603</v>
      </c>
      <c r="C400" s="9" t="s">
        <v>24</v>
      </c>
      <c r="D400" s="9" t="s">
        <v>12</v>
      </c>
      <c r="E400" s="11" t="s">
        <v>25</v>
      </c>
      <c r="F400" s="10"/>
      <c r="G400" s="10">
        <v>12</v>
      </c>
      <c r="H400" s="10" t="s">
        <v>10</v>
      </c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4.25" customHeight="1" x14ac:dyDescent="0.3">
      <c r="A401" s="8"/>
      <c r="B401" s="38">
        <v>45603</v>
      </c>
      <c r="C401" s="42" t="s">
        <v>106</v>
      </c>
      <c r="D401" s="9" t="s">
        <v>12</v>
      </c>
      <c r="E401" s="11" t="s">
        <v>107</v>
      </c>
      <c r="F401" s="10">
        <v>3</v>
      </c>
      <c r="G401" s="10"/>
      <c r="H401" s="10" t="s">
        <v>18</v>
      </c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4.25" customHeight="1" x14ac:dyDescent="0.3">
      <c r="A402" s="8"/>
      <c r="B402" s="38">
        <v>45603</v>
      </c>
      <c r="C402" s="9" t="s">
        <v>24</v>
      </c>
      <c r="D402" s="9" t="s">
        <v>12</v>
      </c>
      <c r="E402" s="11" t="s">
        <v>25</v>
      </c>
      <c r="F402" s="10"/>
      <c r="G402" s="10">
        <v>12</v>
      </c>
      <c r="H402" s="10" t="s">
        <v>10</v>
      </c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4.25" customHeight="1" x14ac:dyDescent="0.3">
      <c r="A403" s="8"/>
      <c r="B403" s="38">
        <v>45604</v>
      </c>
      <c r="C403" s="9" t="s">
        <v>30</v>
      </c>
      <c r="D403" s="9" t="s">
        <v>8</v>
      </c>
      <c r="E403" s="11" t="s">
        <v>31</v>
      </c>
      <c r="F403" s="10"/>
      <c r="G403" s="10">
        <v>1</v>
      </c>
      <c r="H403" s="10" t="s">
        <v>10</v>
      </c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4.25" customHeight="1" x14ac:dyDescent="0.3">
      <c r="A404" s="8"/>
      <c r="B404" s="38">
        <v>45604</v>
      </c>
      <c r="C404" s="9" t="s">
        <v>28</v>
      </c>
      <c r="D404" s="9" t="s">
        <v>8</v>
      </c>
      <c r="E404" s="11" t="s">
        <v>29</v>
      </c>
      <c r="F404" s="10"/>
      <c r="G404" s="10">
        <v>1</v>
      </c>
      <c r="H404" s="10" t="s">
        <v>10</v>
      </c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4.25" customHeight="1" x14ac:dyDescent="0.3">
      <c r="A405" s="8"/>
      <c r="B405" s="38">
        <v>45604</v>
      </c>
      <c r="C405" s="9" t="s">
        <v>30</v>
      </c>
      <c r="D405" s="9" t="s">
        <v>8</v>
      </c>
      <c r="E405" s="11" t="s">
        <v>31</v>
      </c>
      <c r="F405" s="10">
        <v>1</v>
      </c>
      <c r="G405" s="10"/>
      <c r="H405" s="10" t="s">
        <v>18</v>
      </c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4.25" customHeight="1" x14ac:dyDescent="0.3">
      <c r="A406" s="8"/>
      <c r="B406" s="38">
        <v>45604</v>
      </c>
      <c r="C406" s="9" t="s">
        <v>28</v>
      </c>
      <c r="D406" s="9" t="s">
        <v>8</v>
      </c>
      <c r="E406" s="11" t="s">
        <v>29</v>
      </c>
      <c r="F406" s="10">
        <v>4</v>
      </c>
      <c r="G406" s="10"/>
      <c r="H406" s="10" t="s">
        <v>18</v>
      </c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4.25" customHeight="1" x14ac:dyDescent="0.3">
      <c r="A407" s="8"/>
      <c r="B407" s="38">
        <v>45604</v>
      </c>
      <c r="C407" s="9" t="s">
        <v>75</v>
      </c>
      <c r="D407" s="9" t="s">
        <v>8</v>
      </c>
      <c r="E407" s="11" t="s">
        <v>76</v>
      </c>
      <c r="F407" s="10">
        <v>1</v>
      </c>
      <c r="G407" s="10"/>
      <c r="H407" s="10" t="s">
        <v>18</v>
      </c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4.25" customHeight="1" x14ac:dyDescent="0.3">
      <c r="A408" s="8"/>
      <c r="B408" s="38">
        <v>45604</v>
      </c>
      <c r="C408" s="9" t="s">
        <v>7</v>
      </c>
      <c r="D408" s="9" t="s">
        <v>8</v>
      </c>
      <c r="E408" s="11" t="s">
        <v>9</v>
      </c>
      <c r="F408" s="10">
        <v>3</v>
      </c>
      <c r="G408" s="10"/>
      <c r="H408" s="10" t="s">
        <v>18</v>
      </c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4.25" customHeight="1" x14ac:dyDescent="0.3">
      <c r="A409" s="8"/>
      <c r="B409" s="38">
        <v>45604</v>
      </c>
      <c r="C409" s="9" t="s">
        <v>39</v>
      </c>
      <c r="D409" s="9" t="s">
        <v>20</v>
      </c>
      <c r="E409" s="11" t="s">
        <v>40</v>
      </c>
      <c r="F409" s="10">
        <v>20</v>
      </c>
      <c r="G409" s="10"/>
      <c r="H409" s="10" t="s">
        <v>18</v>
      </c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4.25" customHeight="1" x14ac:dyDescent="0.3">
      <c r="A410" s="8"/>
      <c r="B410" s="38">
        <v>45604</v>
      </c>
      <c r="C410" s="20" t="s">
        <v>73</v>
      </c>
      <c r="D410" s="9" t="s">
        <v>20</v>
      </c>
      <c r="E410" s="11" t="s">
        <v>74</v>
      </c>
      <c r="F410" s="10">
        <v>5</v>
      </c>
      <c r="G410" s="10"/>
      <c r="H410" s="10" t="s">
        <v>18</v>
      </c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4.25" customHeight="1" x14ac:dyDescent="0.3">
      <c r="A411" s="8"/>
      <c r="B411" s="38">
        <v>45604</v>
      </c>
      <c r="C411" s="9" t="s">
        <v>43</v>
      </c>
      <c r="D411" s="9" t="s">
        <v>20</v>
      </c>
      <c r="E411" s="11" t="s">
        <v>44</v>
      </c>
      <c r="F411" s="10">
        <v>12</v>
      </c>
      <c r="G411" s="10"/>
      <c r="H411" s="10" t="s">
        <v>18</v>
      </c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4.25" customHeight="1" x14ac:dyDescent="0.3">
      <c r="A412" s="8"/>
      <c r="B412" s="38">
        <v>45604</v>
      </c>
      <c r="C412" s="14" t="s">
        <v>85</v>
      </c>
      <c r="D412" s="9" t="s">
        <v>12</v>
      </c>
      <c r="E412" s="11" t="s">
        <v>97</v>
      </c>
      <c r="F412" s="10">
        <v>15</v>
      </c>
      <c r="G412" s="10"/>
      <c r="H412" s="10" t="s">
        <v>18</v>
      </c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4.25" customHeight="1" x14ac:dyDescent="0.3">
      <c r="A413" s="8"/>
      <c r="B413" s="38">
        <v>45604</v>
      </c>
      <c r="C413" s="14" t="s">
        <v>110</v>
      </c>
      <c r="D413" s="9" t="s">
        <v>12</v>
      </c>
      <c r="E413" s="11" t="s">
        <v>111</v>
      </c>
      <c r="F413" s="10">
        <f>5*12</f>
        <v>60</v>
      </c>
      <c r="G413" s="10"/>
      <c r="H413" s="10" t="s">
        <v>18</v>
      </c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4.25" customHeight="1" x14ac:dyDescent="0.3">
      <c r="A414" s="8"/>
      <c r="B414" s="38">
        <v>45604</v>
      </c>
      <c r="C414" s="18" t="s">
        <v>32</v>
      </c>
      <c r="D414" s="25" t="s">
        <v>33</v>
      </c>
      <c r="E414" s="11" t="s">
        <v>34</v>
      </c>
      <c r="F414" s="10">
        <v>1</v>
      </c>
      <c r="G414" s="10"/>
      <c r="H414" s="10" t="s">
        <v>18</v>
      </c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4.25" customHeight="1" x14ac:dyDescent="0.3">
      <c r="A415" s="8"/>
      <c r="B415" s="38">
        <v>45605</v>
      </c>
      <c r="C415" s="42" t="s">
        <v>106</v>
      </c>
      <c r="D415" s="9" t="s">
        <v>12</v>
      </c>
      <c r="E415" s="11" t="s">
        <v>107</v>
      </c>
      <c r="F415" s="10"/>
      <c r="G415" s="10">
        <v>1</v>
      </c>
      <c r="H415" s="10" t="s">
        <v>10</v>
      </c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4.25" customHeight="1" x14ac:dyDescent="0.3">
      <c r="A416" s="8"/>
      <c r="B416" s="38">
        <v>45605</v>
      </c>
      <c r="C416" s="9" t="s">
        <v>14</v>
      </c>
      <c r="D416" s="9" t="s">
        <v>12</v>
      </c>
      <c r="E416" s="11" t="s">
        <v>15</v>
      </c>
      <c r="F416" s="10"/>
      <c r="G416" s="10">
        <v>16</v>
      </c>
      <c r="H416" s="10" t="s">
        <v>10</v>
      </c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4.25" customHeight="1" x14ac:dyDescent="0.3">
      <c r="A417" s="8"/>
      <c r="B417" s="38">
        <v>45605</v>
      </c>
      <c r="C417" s="9" t="s">
        <v>45</v>
      </c>
      <c r="D417" s="9" t="s">
        <v>12</v>
      </c>
      <c r="E417" s="11" t="s">
        <v>59</v>
      </c>
      <c r="F417" s="10"/>
      <c r="G417" s="10">
        <v>80</v>
      </c>
      <c r="H417" s="10" t="s">
        <v>10</v>
      </c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4.25" customHeight="1" x14ac:dyDescent="0.3">
      <c r="A418" s="8"/>
      <c r="B418" s="38">
        <v>45605</v>
      </c>
      <c r="C418" s="14" t="s">
        <v>57</v>
      </c>
      <c r="D418" s="9" t="s">
        <v>12</v>
      </c>
      <c r="E418" s="11" t="s">
        <v>58</v>
      </c>
      <c r="F418" s="10"/>
      <c r="G418" s="10">
        <v>80</v>
      </c>
      <c r="H418" s="10" t="s">
        <v>10</v>
      </c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4.25" customHeight="1" x14ac:dyDescent="0.3">
      <c r="A419" s="8"/>
      <c r="B419" s="47">
        <v>45605</v>
      </c>
      <c r="C419" s="48" t="s">
        <v>83</v>
      </c>
      <c r="D419" s="34" t="s">
        <v>20</v>
      </c>
      <c r="E419" s="35" t="s">
        <v>84</v>
      </c>
      <c r="F419" s="36">
        <v>20</v>
      </c>
      <c r="G419" s="36"/>
      <c r="H419" s="36" t="s">
        <v>18</v>
      </c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4.25" customHeight="1" x14ac:dyDescent="0.3">
      <c r="A420" s="8"/>
      <c r="B420" s="47">
        <v>45605</v>
      </c>
      <c r="C420" s="48" t="s">
        <v>87</v>
      </c>
      <c r="D420" s="34" t="s">
        <v>20</v>
      </c>
      <c r="E420" s="35" t="s">
        <v>88</v>
      </c>
      <c r="F420" s="36">
        <v>10</v>
      </c>
      <c r="G420" s="36"/>
      <c r="H420" s="36" t="s">
        <v>18</v>
      </c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4.25" customHeight="1" x14ac:dyDescent="0.3">
      <c r="A421" s="8"/>
      <c r="B421" s="47">
        <v>45605</v>
      </c>
      <c r="C421" s="48" t="s">
        <v>90</v>
      </c>
      <c r="D421" s="34" t="s">
        <v>20</v>
      </c>
      <c r="E421" s="35" t="s">
        <v>91</v>
      </c>
      <c r="F421" s="36">
        <v>7.5</v>
      </c>
      <c r="G421" s="36"/>
      <c r="H421" s="36" t="s">
        <v>18</v>
      </c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4.25" customHeight="1" x14ac:dyDescent="0.3">
      <c r="A422" s="8"/>
      <c r="B422" s="38">
        <v>45606</v>
      </c>
      <c r="C422" s="9" t="s">
        <v>24</v>
      </c>
      <c r="D422" s="9" t="s">
        <v>12</v>
      </c>
      <c r="E422" s="11" t="s">
        <v>25</v>
      </c>
      <c r="F422" s="10"/>
      <c r="G422" s="10">
        <v>12</v>
      </c>
      <c r="H422" s="10" t="s">
        <v>10</v>
      </c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4.25" customHeight="1" x14ac:dyDescent="0.3">
      <c r="A423" s="8"/>
      <c r="B423" s="38">
        <v>45608</v>
      </c>
      <c r="C423" s="9" t="s">
        <v>51</v>
      </c>
      <c r="D423" s="9" t="s">
        <v>20</v>
      </c>
      <c r="E423" s="11" t="s">
        <v>52</v>
      </c>
      <c r="F423" s="10">
        <v>2</v>
      </c>
      <c r="G423" s="10"/>
      <c r="H423" s="10" t="s">
        <v>18</v>
      </c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4.25" customHeight="1" x14ac:dyDescent="0.3">
      <c r="A424" s="8"/>
      <c r="B424" s="38">
        <v>45608</v>
      </c>
      <c r="C424" s="9" t="s">
        <v>30</v>
      </c>
      <c r="D424" s="9" t="s">
        <v>8</v>
      </c>
      <c r="E424" s="11" t="s">
        <v>31</v>
      </c>
      <c r="F424" s="10">
        <v>1</v>
      </c>
      <c r="G424" s="10"/>
      <c r="H424" s="10" t="s">
        <v>18</v>
      </c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4.25" customHeight="1" x14ac:dyDescent="0.3">
      <c r="A425" s="8"/>
      <c r="B425" s="38">
        <v>45608</v>
      </c>
      <c r="C425" s="9" t="s">
        <v>30</v>
      </c>
      <c r="D425" s="9" t="s">
        <v>8</v>
      </c>
      <c r="E425" s="11" t="s">
        <v>31</v>
      </c>
      <c r="F425" s="10"/>
      <c r="G425" s="10">
        <v>1</v>
      </c>
      <c r="H425" s="10" t="s">
        <v>10</v>
      </c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4.25" customHeight="1" x14ac:dyDescent="0.3">
      <c r="A426" s="8"/>
      <c r="B426" s="38">
        <v>45608</v>
      </c>
      <c r="C426" s="9" t="s">
        <v>28</v>
      </c>
      <c r="D426" s="9" t="s">
        <v>8</v>
      </c>
      <c r="E426" s="11" t="s">
        <v>29</v>
      </c>
      <c r="F426" s="10"/>
      <c r="G426" s="10">
        <v>2</v>
      </c>
      <c r="H426" s="10" t="s">
        <v>10</v>
      </c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4.25" customHeight="1" x14ac:dyDescent="0.3">
      <c r="A427" s="8"/>
      <c r="B427" s="38">
        <v>45608</v>
      </c>
      <c r="C427" s="9" t="s">
        <v>7</v>
      </c>
      <c r="D427" s="9" t="s">
        <v>8</v>
      </c>
      <c r="E427" s="11" t="s">
        <v>9</v>
      </c>
      <c r="F427" s="10"/>
      <c r="G427" s="10">
        <v>2</v>
      </c>
      <c r="H427" s="10" t="s">
        <v>10</v>
      </c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4.25" customHeight="1" x14ac:dyDescent="0.3">
      <c r="A428" s="8"/>
      <c r="B428" s="38">
        <v>45608</v>
      </c>
      <c r="C428" s="9" t="s">
        <v>75</v>
      </c>
      <c r="D428" s="9" t="s">
        <v>8</v>
      </c>
      <c r="E428" s="11" t="s">
        <v>76</v>
      </c>
      <c r="F428" s="10"/>
      <c r="G428" s="10">
        <v>1</v>
      </c>
      <c r="H428" s="10" t="s">
        <v>10</v>
      </c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4.25" customHeight="1" x14ac:dyDescent="0.3">
      <c r="A429" s="8"/>
      <c r="B429" s="38">
        <v>45608</v>
      </c>
      <c r="C429" s="9" t="s">
        <v>43</v>
      </c>
      <c r="D429" s="9" t="s">
        <v>20</v>
      </c>
      <c r="E429" s="11" t="s">
        <v>44</v>
      </c>
      <c r="F429" s="10"/>
      <c r="G429" s="10">
        <v>6</v>
      </c>
      <c r="H429" s="10" t="s">
        <v>10</v>
      </c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4.25" customHeight="1" x14ac:dyDescent="0.3">
      <c r="A430" s="8"/>
      <c r="B430" s="38">
        <v>45608</v>
      </c>
      <c r="C430" s="9" t="s">
        <v>77</v>
      </c>
      <c r="D430" s="9" t="s">
        <v>20</v>
      </c>
      <c r="E430" s="11" t="s">
        <v>78</v>
      </c>
      <c r="F430" s="10"/>
      <c r="G430" s="10">
        <v>1</v>
      </c>
      <c r="H430" s="10" t="s">
        <v>10</v>
      </c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4.25" customHeight="1" x14ac:dyDescent="0.3">
      <c r="A431" s="8"/>
      <c r="B431" s="38">
        <v>45608</v>
      </c>
      <c r="C431" s="9" t="s">
        <v>73</v>
      </c>
      <c r="D431" s="9" t="s">
        <v>20</v>
      </c>
      <c r="E431" s="11" t="s">
        <v>74</v>
      </c>
      <c r="F431" s="10"/>
      <c r="G431" s="10">
        <v>6</v>
      </c>
      <c r="H431" s="10" t="s">
        <v>10</v>
      </c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4.25" customHeight="1" x14ac:dyDescent="0.3">
      <c r="A432" s="8"/>
      <c r="B432" s="38">
        <v>45608</v>
      </c>
      <c r="C432" s="9" t="s">
        <v>39</v>
      </c>
      <c r="D432" s="9" t="s">
        <v>20</v>
      </c>
      <c r="E432" s="11" t="s">
        <v>40</v>
      </c>
      <c r="F432" s="10"/>
      <c r="G432" s="10">
        <v>20.100000000000001</v>
      </c>
      <c r="H432" s="10" t="s">
        <v>10</v>
      </c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4.25" customHeight="1" x14ac:dyDescent="0.3">
      <c r="A433" s="8"/>
      <c r="B433" s="38">
        <v>45608</v>
      </c>
      <c r="C433" s="9" t="s">
        <v>41</v>
      </c>
      <c r="D433" s="9" t="s">
        <v>20</v>
      </c>
      <c r="E433" s="11" t="s">
        <v>42</v>
      </c>
      <c r="F433" s="10">
        <v>3.2</v>
      </c>
      <c r="G433" s="10"/>
      <c r="H433" s="10" t="s">
        <v>18</v>
      </c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4.25" customHeight="1" x14ac:dyDescent="0.3">
      <c r="A434" s="8"/>
      <c r="B434" s="38">
        <v>45608</v>
      </c>
      <c r="C434" s="9" t="s">
        <v>51</v>
      </c>
      <c r="D434" s="9" t="s">
        <v>20</v>
      </c>
      <c r="E434" s="11" t="s">
        <v>52</v>
      </c>
      <c r="F434" s="10"/>
      <c r="G434" s="10">
        <v>4.2</v>
      </c>
      <c r="H434" s="10" t="s">
        <v>10</v>
      </c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4.25" customHeight="1" x14ac:dyDescent="0.3">
      <c r="A435" s="8"/>
      <c r="B435" s="38">
        <v>45608</v>
      </c>
      <c r="C435" s="9" t="s">
        <v>95</v>
      </c>
      <c r="D435" s="9" t="s">
        <v>12</v>
      </c>
      <c r="E435" s="11" t="s">
        <v>96</v>
      </c>
      <c r="F435" s="10">
        <v>30</v>
      </c>
      <c r="G435" s="10"/>
      <c r="H435" s="10" t="s">
        <v>18</v>
      </c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4.25" customHeight="1" x14ac:dyDescent="0.3">
      <c r="A436" s="8"/>
      <c r="B436" s="38">
        <v>45608</v>
      </c>
      <c r="C436" s="9" t="s">
        <v>32</v>
      </c>
      <c r="D436" s="25" t="s">
        <v>33</v>
      </c>
      <c r="E436" s="11" t="s">
        <v>34</v>
      </c>
      <c r="F436" s="10"/>
      <c r="G436" s="10">
        <v>1</v>
      </c>
      <c r="H436" s="10" t="s">
        <v>10</v>
      </c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4.25" customHeight="1" x14ac:dyDescent="0.3">
      <c r="A437" s="8"/>
      <c r="B437" s="38">
        <v>45608</v>
      </c>
      <c r="C437" s="9" t="s">
        <v>68</v>
      </c>
      <c r="D437" s="9" t="s">
        <v>12</v>
      </c>
      <c r="E437" s="11" t="s">
        <v>69</v>
      </c>
      <c r="F437" s="10"/>
      <c r="G437" s="10">
        <v>8</v>
      </c>
      <c r="H437" s="10" t="s">
        <v>10</v>
      </c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4.25" customHeight="1" x14ac:dyDescent="0.3">
      <c r="A438" s="8"/>
      <c r="B438" s="38">
        <v>45608</v>
      </c>
      <c r="C438" s="14" t="s">
        <v>85</v>
      </c>
      <c r="D438" s="9" t="s">
        <v>12</v>
      </c>
      <c r="E438" s="11" t="s">
        <v>97</v>
      </c>
      <c r="F438" s="10"/>
      <c r="G438" s="10">
        <v>15</v>
      </c>
      <c r="H438" s="10" t="s">
        <v>10</v>
      </c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4.25" customHeight="1" x14ac:dyDescent="0.3">
      <c r="A439" s="8"/>
      <c r="B439" s="38">
        <v>45608</v>
      </c>
      <c r="C439" s="26" t="s">
        <v>101</v>
      </c>
      <c r="D439" s="9" t="s">
        <v>8</v>
      </c>
      <c r="E439" s="11" t="s">
        <v>102</v>
      </c>
      <c r="F439" s="10"/>
      <c r="G439" s="10">
        <v>1</v>
      </c>
      <c r="H439" s="10" t="s">
        <v>10</v>
      </c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4.25" customHeight="1" x14ac:dyDescent="0.3">
      <c r="A440" s="8"/>
      <c r="B440" s="38">
        <v>45608</v>
      </c>
      <c r="C440" s="42" t="s">
        <v>106</v>
      </c>
      <c r="D440" s="25" t="s">
        <v>112</v>
      </c>
      <c r="E440" s="11" t="s">
        <v>107</v>
      </c>
      <c r="F440" s="10"/>
      <c r="G440" s="10">
        <v>1</v>
      </c>
      <c r="H440" s="10" t="s">
        <v>10</v>
      </c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4.25" customHeight="1" x14ac:dyDescent="0.3">
      <c r="A441" s="8"/>
      <c r="B441" s="38">
        <v>45608</v>
      </c>
      <c r="C441" s="39" t="s">
        <v>83</v>
      </c>
      <c r="D441" s="9" t="s">
        <v>20</v>
      </c>
      <c r="E441" s="11" t="s">
        <v>84</v>
      </c>
      <c r="F441" s="10"/>
      <c r="G441" s="10">
        <v>10</v>
      </c>
      <c r="H441" s="10" t="s">
        <v>10</v>
      </c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4.25" customHeight="1" x14ac:dyDescent="0.3">
      <c r="A442" s="8"/>
      <c r="B442" s="38">
        <v>45608</v>
      </c>
      <c r="C442" s="14" t="s">
        <v>110</v>
      </c>
      <c r="D442" s="9" t="s">
        <v>12</v>
      </c>
      <c r="E442" s="18" t="s">
        <v>111</v>
      </c>
      <c r="F442" s="10"/>
      <c r="G442" s="10">
        <f>60-25</f>
        <v>35</v>
      </c>
      <c r="H442" s="10" t="s">
        <v>10</v>
      </c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4.25" customHeight="1" x14ac:dyDescent="0.3">
      <c r="A443" s="8"/>
      <c r="B443" s="38">
        <v>45608</v>
      </c>
      <c r="C443" s="18" t="s">
        <v>108</v>
      </c>
      <c r="D443" s="25" t="s">
        <v>113</v>
      </c>
      <c r="E443" s="11" t="s">
        <v>109</v>
      </c>
      <c r="F443" s="10"/>
      <c r="G443" s="10">
        <v>1</v>
      </c>
      <c r="H443" s="10" t="s">
        <v>10</v>
      </c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4.25" customHeight="1" x14ac:dyDescent="0.3">
      <c r="A444" s="8"/>
      <c r="B444" s="38">
        <v>45609</v>
      </c>
      <c r="C444" s="9" t="s">
        <v>30</v>
      </c>
      <c r="D444" s="9" t="s">
        <v>8</v>
      </c>
      <c r="E444" s="11" t="s">
        <v>31</v>
      </c>
      <c r="F444" s="10"/>
      <c r="G444" s="10">
        <v>1</v>
      </c>
      <c r="H444" s="10" t="s">
        <v>10</v>
      </c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4.25" customHeight="1" x14ac:dyDescent="0.3">
      <c r="A445" s="8"/>
      <c r="B445" s="38">
        <v>45610</v>
      </c>
      <c r="C445" s="9" t="s">
        <v>30</v>
      </c>
      <c r="D445" s="9" t="s">
        <v>8</v>
      </c>
      <c r="E445" s="11" t="s">
        <v>31</v>
      </c>
      <c r="F445" s="10">
        <v>1</v>
      </c>
      <c r="G445" s="10"/>
      <c r="H445" s="10" t="s">
        <v>18</v>
      </c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4.25" customHeight="1" x14ac:dyDescent="0.3">
      <c r="A446" s="8"/>
      <c r="B446" s="38">
        <v>45610</v>
      </c>
      <c r="C446" s="9" t="s">
        <v>28</v>
      </c>
      <c r="D446" s="9" t="s">
        <v>8</v>
      </c>
      <c r="E446" s="11" t="s">
        <v>29</v>
      </c>
      <c r="F446" s="10"/>
      <c r="G446" s="10">
        <v>1</v>
      </c>
      <c r="H446" s="10" t="s">
        <v>10</v>
      </c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4.25" customHeight="1" x14ac:dyDescent="0.3">
      <c r="A447" s="8"/>
      <c r="B447" s="38">
        <v>45610</v>
      </c>
      <c r="C447" s="20" t="s">
        <v>189</v>
      </c>
      <c r="D447" s="9"/>
      <c r="E447" s="11" t="s">
        <v>92</v>
      </c>
      <c r="F447" s="10">
        <f>12*14</f>
        <v>168</v>
      </c>
      <c r="G447" s="10"/>
      <c r="H447" s="10" t="s">
        <v>18</v>
      </c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4.25" customHeight="1" x14ac:dyDescent="0.3">
      <c r="A448" s="8"/>
      <c r="B448" s="38">
        <v>45610</v>
      </c>
      <c r="C448" s="9" t="s">
        <v>39</v>
      </c>
      <c r="D448" s="9" t="s">
        <v>20</v>
      </c>
      <c r="E448" s="11" t="s">
        <v>40</v>
      </c>
      <c r="F448" s="10">
        <v>1.1000000000000001</v>
      </c>
      <c r="G448" s="10"/>
      <c r="H448" s="10" t="s">
        <v>18</v>
      </c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4.25" customHeight="1" x14ac:dyDescent="0.3">
      <c r="A449" s="8"/>
      <c r="B449" s="38">
        <v>45610</v>
      </c>
      <c r="C449" s="9" t="s">
        <v>24</v>
      </c>
      <c r="D449" s="9" t="s">
        <v>12</v>
      </c>
      <c r="E449" s="11" t="s">
        <v>25</v>
      </c>
      <c r="F449" s="10">
        <v>12</v>
      </c>
      <c r="G449" s="10"/>
      <c r="H449" s="10" t="s">
        <v>18</v>
      </c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4.25" customHeight="1" x14ac:dyDescent="0.3">
      <c r="A450" s="8"/>
      <c r="B450" s="38">
        <v>45610</v>
      </c>
      <c r="C450" s="26" t="s">
        <v>53</v>
      </c>
      <c r="D450" s="9" t="s">
        <v>12</v>
      </c>
      <c r="E450" s="10" t="s">
        <v>54</v>
      </c>
      <c r="F450" s="10">
        <v>23</v>
      </c>
      <c r="G450" s="10"/>
      <c r="H450" s="10" t="s">
        <v>18</v>
      </c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4.25" customHeight="1" x14ac:dyDescent="0.3">
      <c r="A451" s="8"/>
      <c r="B451" s="38">
        <v>45611</v>
      </c>
      <c r="C451" s="9" t="s">
        <v>30</v>
      </c>
      <c r="D451" s="9" t="s">
        <v>8</v>
      </c>
      <c r="E451" s="11" t="s">
        <v>31</v>
      </c>
      <c r="F451" s="10">
        <v>1</v>
      </c>
      <c r="G451" s="10"/>
      <c r="H451" s="10" t="s">
        <v>18</v>
      </c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4.25" customHeight="1" x14ac:dyDescent="0.3">
      <c r="A452" s="8"/>
      <c r="B452" s="38">
        <v>45611</v>
      </c>
      <c r="C452" s="9" t="s">
        <v>28</v>
      </c>
      <c r="D452" s="9" t="s">
        <v>8</v>
      </c>
      <c r="E452" s="11" t="s">
        <v>29</v>
      </c>
      <c r="F452" s="10">
        <v>3</v>
      </c>
      <c r="G452" s="10"/>
      <c r="H452" s="10" t="s">
        <v>18</v>
      </c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4.25" customHeight="1" x14ac:dyDescent="0.3">
      <c r="A453" s="8"/>
      <c r="B453" s="38">
        <v>45611</v>
      </c>
      <c r="C453" s="9" t="s">
        <v>7</v>
      </c>
      <c r="D453" s="9" t="s">
        <v>8</v>
      </c>
      <c r="E453" s="11" t="s">
        <v>9</v>
      </c>
      <c r="F453" s="10">
        <v>3</v>
      </c>
      <c r="G453" s="10"/>
      <c r="H453" s="10" t="s">
        <v>18</v>
      </c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4.25" customHeight="1" x14ac:dyDescent="0.3">
      <c r="A454" s="8"/>
      <c r="B454" s="38">
        <v>45611</v>
      </c>
      <c r="C454" s="26" t="s">
        <v>101</v>
      </c>
      <c r="D454" s="9" t="s">
        <v>8</v>
      </c>
      <c r="E454" s="11" t="s">
        <v>102</v>
      </c>
      <c r="F454" s="10">
        <v>2</v>
      </c>
      <c r="G454" s="10"/>
      <c r="H454" s="10" t="s">
        <v>18</v>
      </c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4.25" customHeight="1" x14ac:dyDescent="0.3">
      <c r="A455" s="8"/>
      <c r="B455" s="38">
        <v>45611</v>
      </c>
      <c r="C455" s="9" t="s">
        <v>45</v>
      </c>
      <c r="D455" s="9" t="s">
        <v>12</v>
      </c>
      <c r="E455" s="11" t="s">
        <v>59</v>
      </c>
      <c r="F455" s="10"/>
      <c r="G455" s="10">
        <v>80</v>
      </c>
      <c r="H455" s="10" t="s">
        <v>10</v>
      </c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4.25" customHeight="1" x14ac:dyDescent="0.3">
      <c r="A456" s="8"/>
      <c r="B456" s="38">
        <v>45613</v>
      </c>
      <c r="C456" s="9" t="s">
        <v>14</v>
      </c>
      <c r="D456" s="9" t="s">
        <v>12</v>
      </c>
      <c r="E456" s="11" t="s">
        <v>15</v>
      </c>
      <c r="F456" s="10"/>
      <c r="G456" s="10">
        <v>16</v>
      </c>
      <c r="H456" s="10" t="s">
        <v>10</v>
      </c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4.25" customHeight="1" x14ac:dyDescent="0.3">
      <c r="A457" s="8"/>
      <c r="B457" s="38">
        <v>45613</v>
      </c>
      <c r="C457" s="9" t="s">
        <v>11</v>
      </c>
      <c r="D457" s="9" t="s">
        <v>12</v>
      </c>
      <c r="E457" s="11" t="s">
        <v>13</v>
      </c>
      <c r="F457" s="10"/>
      <c r="G457" s="10">
        <v>48</v>
      </c>
      <c r="H457" s="10" t="s">
        <v>10</v>
      </c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4.25" customHeight="1" x14ac:dyDescent="0.3">
      <c r="A458" s="8"/>
      <c r="B458" s="38">
        <v>45613</v>
      </c>
      <c r="C458" s="42" t="s">
        <v>106</v>
      </c>
      <c r="D458" s="25" t="s">
        <v>112</v>
      </c>
      <c r="E458" s="11" t="s">
        <v>107</v>
      </c>
      <c r="F458" s="10"/>
      <c r="G458" s="10">
        <v>1</v>
      </c>
      <c r="H458" s="10" t="s">
        <v>10</v>
      </c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4.25" customHeight="1" x14ac:dyDescent="0.3">
      <c r="A459" s="8"/>
      <c r="B459" s="38">
        <v>45613</v>
      </c>
      <c r="C459" s="9" t="s">
        <v>55</v>
      </c>
      <c r="D459" s="9" t="s">
        <v>12</v>
      </c>
      <c r="E459" s="11" t="s">
        <v>56</v>
      </c>
      <c r="F459" s="10"/>
      <c r="G459" s="10">
        <v>30</v>
      </c>
      <c r="H459" s="10" t="s">
        <v>10</v>
      </c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4.25" customHeight="1" x14ac:dyDescent="0.3">
      <c r="A460" s="8"/>
      <c r="B460" s="38">
        <v>45613</v>
      </c>
      <c r="C460" s="9" t="s">
        <v>24</v>
      </c>
      <c r="D460" s="9" t="s">
        <v>12</v>
      </c>
      <c r="E460" s="11" t="s">
        <v>25</v>
      </c>
      <c r="F460" s="10"/>
      <c r="G460" s="10">
        <v>24</v>
      </c>
      <c r="H460" s="10" t="s">
        <v>10</v>
      </c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4.25" customHeight="1" x14ac:dyDescent="0.3">
      <c r="A461" s="8"/>
      <c r="B461" s="38">
        <v>45613</v>
      </c>
      <c r="C461" s="9" t="s">
        <v>53</v>
      </c>
      <c r="D461" s="9" t="s">
        <v>12</v>
      </c>
      <c r="E461" s="11" t="s">
        <v>54</v>
      </c>
      <c r="F461" s="10"/>
      <c r="G461" s="10">
        <v>23</v>
      </c>
      <c r="H461" s="10" t="s">
        <v>10</v>
      </c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4.25" customHeight="1" x14ac:dyDescent="0.3">
      <c r="A462" s="8"/>
      <c r="B462" s="38">
        <v>45614</v>
      </c>
      <c r="C462" s="9" t="s">
        <v>30</v>
      </c>
      <c r="D462" s="9" t="s">
        <v>8</v>
      </c>
      <c r="E462" s="11" t="s">
        <v>31</v>
      </c>
      <c r="F462" s="10"/>
      <c r="G462" s="10">
        <v>1</v>
      </c>
      <c r="H462" s="10" t="s">
        <v>10</v>
      </c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4.25" customHeight="1" x14ac:dyDescent="0.3">
      <c r="A463" s="8"/>
      <c r="B463" s="38">
        <v>45614</v>
      </c>
      <c r="C463" s="9" t="s">
        <v>28</v>
      </c>
      <c r="D463" s="9" t="s">
        <v>8</v>
      </c>
      <c r="E463" s="11" t="s">
        <v>29</v>
      </c>
      <c r="F463" s="10"/>
      <c r="G463" s="10">
        <v>2</v>
      </c>
      <c r="H463" s="10" t="s">
        <v>10</v>
      </c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4.25" customHeight="1" x14ac:dyDescent="0.3">
      <c r="A464" s="8"/>
      <c r="B464" s="38">
        <v>45614</v>
      </c>
      <c r="C464" s="9" t="s">
        <v>7</v>
      </c>
      <c r="D464" s="9" t="s">
        <v>8</v>
      </c>
      <c r="E464" s="11" t="s">
        <v>9</v>
      </c>
      <c r="F464" s="10"/>
      <c r="G464" s="10">
        <v>2</v>
      </c>
      <c r="H464" s="10" t="s">
        <v>10</v>
      </c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4.25" customHeight="1" x14ac:dyDescent="0.3">
      <c r="A465" s="8"/>
      <c r="B465" s="38">
        <v>45614</v>
      </c>
      <c r="C465" s="9" t="s">
        <v>75</v>
      </c>
      <c r="D465" s="9" t="s">
        <v>8</v>
      </c>
      <c r="E465" s="11" t="s">
        <v>76</v>
      </c>
      <c r="F465" s="10"/>
      <c r="G465" s="10">
        <v>1</v>
      </c>
      <c r="H465" s="10" t="s">
        <v>10</v>
      </c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4.25" customHeight="1" x14ac:dyDescent="0.3">
      <c r="A466" s="8"/>
      <c r="B466" s="38">
        <v>45614</v>
      </c>
      <c r="C466" s="9" t="s">
        <v>189</v>
      </c>
      <c r="D466" s="9" t="s">
        <v>12</v>
      </c>
      <c r="E466" s="11" t="s">
        <v>92</v>
      </c>
      <c r="F466" s="10"/>
      <c r="G466" s="10">
        <v>72</v>
      </c>
      <c r="H466" s="10" t="s">
        <v>10</v>
      </c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4.25" customHeight="1" x14ac:dyDescent="0.3">
      <c r="A467" s="8"/>
      <c r="B467" s="38">
        <v>45614</v>
      </c>
      <c r="C467" s="9" t="s">
        <v>43</v>
      </c>
      <c r="D467" s="9" t="s">
        <v>20</v>
      </c>
      <c r="E467" s="11" t="s">
        <v>44</v>
      </c>
      <c r="F467" s="10"/>
      <c r="G467" s="10">
        <f>20.8-14.6</f>
        <v>6.2000000000000011</v>
      </c>
      <c r="H467" s="10" t="s">
        <v>10</v>
      </c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4.25" customHeight="1" x14ac:dyDescent="0.3">
      <c r="A468" s="8"/>
      <c r="B468" s="38">
        <v>45614</v>
      </c>
      <c r="C468" s="9" t="s">
        <v>39</v>
      </c>
      <c r="D468" s="9" t="s">
        <v>20</v>
      </c>
      <c r="E468" s="11" t="s">
        <v>40</v>
      </c>
      <c r="F468" s="10">
        <v>2.5</v>
      </c>
      <c r="G468" s="10"/>
      <c r="H468" s="10" t="s">
        <v>10</v>
      </c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4.25" customHeight="1" x14ac:dyDescent="0.3">
      <c r="A469" s="8"/>
      <c r="B469" s="38">
        <v>45614</v>
      </c>
      <c r="C469" s="9" t="s">
        <v>41</v>
      </c>
      <c r="D469" s="9" t="s">
        <v>20</v>
      </c>
      <c r="E469" s="11" t="s">
        <v>42</v>
      </c>
      <c r="F469" s="10"/>
      <c r="G469" s="10">
        <f>8.2-4.5</f>
        <v>3.6999999999999993</v>
      </c>
      <c r="H469" s="10" t="s">
        <v>10</v>
      </c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4.25" customHeight="1" x14ac:dyDescent="0.3">
      <c r="A470" s="8"/>
      <c r="B470" s="38">
        <v>45614</v>
      </c>
      <c r="C470" s="9" t="s">
        <v>51</v>
      </c>
      <c r="D470" s="9" t="s">
        <v>20</v>
      </c>
      <c r="E470" s="11" t="s">
        <v>52</v>
      </c>
      <c r="F470" s="10"/>
      <c r="G470" s="10">
        <v>2.8</v>
      </c>
      <c r="H470" s="10" t="s">
        <v>10</v>
      </c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4.25" customHeight="1" x14ac:dyDescent="0.3">
      <c r="A471" s="8"/>
      <c r="B471" s="38">
        <v>45614</v>
      </c>
      <c r="C471" s="9" t="s">
        <v>80</v>
      </c>
      <c r="D471" s="9" t="s">
        <v>12</v>
      </c>
      <c r="E471" s="11" t="s">
        <v>81</v>
      </c>
      <c r="F471" s="10"/>
      <c r="G471" s="10">
        <v>1</v>
      </c>
      <c r="H471" s="10" t="s">
        <v>10</v>
      </c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4.25" customHeight="1" x14ac:dyDescent="0.3">
      <c r="A472" s="8"/>
      <c r="B472" s="38">
        <v>45614</v>
      </c>
      <c r="C472" s="9" t="s">
        <v>95</v>
      </c>
      <c r="D472" s="9" t="s">
        <v>12</v>
      </c>
      <c r="E472" s="11" t="s">
        <v>96</v>
      </c>
      <c r="F472" s="10"/>
      <c r="G472" s="10">
        <v>30</v>
      </c>
      <c r="H472" s="10" t="s">
        <v>10</v>
      </c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4.25" customHeight="1" x14ac:dyDescent="0.3">
      <c r="A473" s="8"/>
      <c r="B473" s="38">
        <v>45614</v>
      </c>
      <c r="C473" s="9" t="s">
        <v>70</v>
      </c>
      <c r="D473" s="9" t="s">
        <v>12</v>
      </c>
      <c r="E473" s="11" t="s">
        <v>72</v>
      </c>
      <c r="F473" s="10"/>
      <c r="G473" s="10">
        <v>1</v>
      </c>
      <c r="H473" s="10" t="s">
        <v>10</v>
      </c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4.25" customHeight="1" x14ac:dyDescent="0.3">
      <c r="A474" s="8"/>
      <c r="B474" s="38">
        <v>45614</v>
      </c>
      <c r="C474" s="9" t="s">
        <v>105</v>
      </c>
      <c r="D474" s="9" t="s">
        <v>20</v>
      </c>
      <c r="E474" s="11" t="s">
        <v>62</v>
      </c>
      <c r="F474" s="10"/>
      <c r="G474" s="10">
        <v>4.0999999999999996</v>
      </c>
      <c r="H474" s="10" t="s">
        <v>10</v>
      </c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4.25" customHeight="1" x14ac:dyDescent="0.3">
      <c r="A475" s="8"/>
      <c r="B475" s="38">
        <v>45614</v>
      </c>
      <c r="C475" s="39" t="s">
        <v>83</v>
      </c>
      <c r="D475" s="9" t="s">
        <v>20</v>
      </c>
      <c r="E475" s="11" t="s">
        <v>84</v>
      </c>
      <c r="F475" s="10"/>
      <c r="G475" s="10">
        <v>10</v>
      </c>
      <c r="H475" s="10" t="s">
        <v>10</v>
      </c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4.25" customHeight="1" x14ac:dyDescent="0.3">
      <c r="A476" s="8"/>
      <c r="B476" s="38">
        <v>45614</v>
      </c>
      <c r="C476" s="14" t="s">
        <v>110</v>
      </c>
      <c r="D476" s="9" t="s">
        <v>12</v>
      </c>
      <c r="E476" s="11" t="s">
        <v>111</v>
      </c>
      <c r="F476" s="10"/>
      <c r="G476" s="10">
        <f>25-17</f>
        <v>8</v>
      </c>
      <c r="H476" s="10" t="s">
        <v>10</v>
      </c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4.25" customHeight="1" x14ac:dyDescent="0.3">
      <c r="A477" s="8"/>
      <c r="B477" s="38">
        <v>45614</v>
      </c>
      <c r="C477" s="39" t="s">
        <v>90</v>
      </c>
      <c r="D477" s="9" t="s">
        <v>20</v>
      </c>
      <c r="E477" s="11" t="s">
        <v>91</v>
      </c>
      <c r="F477" s="10"/>
      <c r="G477" s="10">
        <v>1.5</v>
      </c>
      <c r="H477" s="10" t="s">
        <v>10</v>
      </c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4.25" customHeight="1" x14ac:dyDescent="0.3">
      <c r="A478" s="8"/>
      <c r="B478" s="38">
        <v>45614</v>
      </c>
      <c r="C478" s="26" t="s">
        <v>87</v>
      </c>
      <c r="D478" s="9" t="s">
        <v>20</v>
      </c>
      <c r="E478" s="11" t="s">
        <v>88</v>
      </c>
      <c r="F478" s="10"/>
      <c r="G478" s="10">
        <v>10</v>
      </c>
      <c r="H478" s="10" t="s">
        <v>10</v>
      </c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4.25" customHeight="1" x14ac:dyDescent="0.3">
      <c r="A479" s="8"/>
      <c r="B479" s="38">
        <v>45614</v>
      </c>
      <c r="C479" s="26" t="s">
        <v>101</v>
      </c>
      <c r="D479" s="9" t="s">
        <v>8</v>
      </c>
      <c r="E479" s="11" t="s">
        <v>102</v>
      </c>
      <c r="F479" s="10"/>
      <c r="G479" s="10">
        <v>1</v>
      </c>
      <c r="H479" s="10" t="s">
        <v>10</v>
      </c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4.25" customHeight="1" x14ac:dyDescent="0.3">
      <c r="A480" s="8"/>
      <c r="B480" s="38">
        <v>45614</v>
      </c>
      <c r="C480" s="9" t="s">
        <v>105</v>
      </c>
      <c r="D480" s="9" t="s">
        <v>20</v>
      </c>
      <c r="E480" s="11" t="s">
        <v>62</v>
      </c>
      <c r="F480" s="10">
        <v>5</v>
      </c>
      <c r="G480" s="10"/>
      <c r="H480" s="10" t="s">
        <v>18</v>
      </c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4.25" customHeight="1" x14ac:dyDescent="0.3">
      <c r="A481" s="8"/>
      <c r="B481" s="38">
        <v>45615</v>
      </c>
      <c r="C481" s="9" t="s">
        <v>75</v>
      </c>
      <c r="D481" s="9" t="s">
        <v>8</v>
      </c>
      <c r="E481" s="11" t="s">
        <v>76</v>
      </c>
      <c r="F481" s="10">
        <v>1</v>
      </c>
      <c r="G481" s="10"/>
      <c r="H481" s="10" t="s">
        <v>18</v>
      </c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4.25" customHeight="1" x14ac:dyDescent="0.3">
      <c r="A482" s="8"/>
      <c r="B482" s="38">
        <v>45615</v>
      </c>
      <c r="C482" s="9" t="s">
        <v>30</v>
      </c>
      <c r="D482" s="9" t="s">
        <v>8</v>
      </c>
      <c r="E482" s="11" t="s">
        <v>31</v>
      </c>
      <c r="F482" s="10">
        <v>1</v>
      </c>
      <c r="G482" s="10"/>
      <c r="H482" s="10" t="s">
        <v>18</v>
      </c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4.25" customHeight="1" x14ac:dyDescent="0.3">
      <c r="A483" s="8"/>
      <c r="B483" s="38">
        <v>45615</v>
      </c>
      <c r="C483" s="18" t="s">
        <v>108</v>
      </c>
      <c r="D483" s="25" t="s">
        <v>113</v>
      </c>
      <c r="E483" s="11" t="s">
        <v>109</v>
      </c>
      <c r="F483" s="10">
        <v>2</v>
      </c>
      <c r="G483" s="10"/>
      <c r="H483" s="10" t="s">
        <v>18</v>
      </c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4.25" customHeight="1" x14ac:dyDescent="0.3">
      <c r="A484" s="8"/>
      <c r="B484" s="38">
        <v>45615</v>
      </c>
      <c r="C484" s="9" t="s">
        <v>80</v>
      </c>
      <c r="D484" s="9" t="s">
        <v>12</v>
      </c>
      <c r="E484" s="11" t="s">
        <v>81</v>
      </c>
      <c r="F484" s="10">
        <v>3</v>
      </c>
      <c r="G484" s="10"/>
      <c r="H484" s="10" t="s">
        <v>18</v>
      </c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4.25" customHeight="1" x14ac:dyDescent="0.3">
      <c r="A485" s="8"/>
      <c r="B485" s="38">
        <v>45615</v>
      </c>
      <c r="C485" s="9" t="s">
        <v>51</v>
      </c>
      <c r="D485" s="9" t="s">
        <v>20</v>
      </c>
      <c r="E485" s="11" t="s">
        <v>52</v>
      </c>
      <c r="F485" s="10">
        <v>2</v>
      </c>
      <c r="G485" s="10"/>
      <c r="H485" s="10" t="s">
        <v>18</v>
      </c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4.25" customHeight="1" x14ac:dyDescent="0.3">
      <c r="A486" s="8"/>
      <c r="B486" s="38">
        <v>45616</v>
      </c>
      <c r="C486" s="9" t="s">
        <v>30</v>
      </c>
      <c r="D486" s="9" t="s">
        <v>8</v>
      </c>
      <c r="E486" s="11" t="s">
        <v>31</v>
      </c>
      <c r="F486" s="10"/>
      <c r="G486" s="10">
        <v>1</v>
      </c>
      <c r="H486" s="10" t="s">
        <v>10</v>
      </c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4.25" customHeight="1" x14ac:dyDescent="0.3">
      <c r="A487" s="8"/>
      <c r="B487" s="38">
        <v>45616</v>
      </c>
      <c r="C487" s="9" t="s">
        <v>28</v>
      </c>
      <c r="D487" s="9" t="s">
        <v>8</v>
      </c>
      <c r="E487" s="11" t="s">
        <v>29</v>
      </c>
      <c r="F487" s="10"/>
      <c r="G487" s="10">
        <v>1</v>
      </c>
      <c r="H487" s="10" t="s">
        <v>10</v>
      </c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4.25" customHeight="1" x14ac:dyDescent="0.3">
      <c r="A488" s="8"/>
      <c r="B488" s="38">
        <v>45616</v>
      </c>
      <c r="C488" s="9" t="s">
        <v>7</v>
      </c>
      <c r="D488" s="9" t="s">
        <v>8</v>
      </c>
      <c r="E488" s="11" t="s">
        <v>9</v>
      </c>
      <c r="F488" s="10"/>
      <c r="G488" s="10">
        <v>1</v>
      </c>
      <c r="H488" s="10" t="s">
        <v>10</v>
      </c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4.25" customHeight="1" x14ac:dyDescent="0.3">
      <c r="A489" s="8"/>
      <c r="B489" s="38">
        <v>45616</v>
      </c>
      <c r="C489" s="26" t="s">
        <v>101</v>
      </c>
      <c r="D489" s="9" t="s">
        <v>8</v>
      </c>
      <c r="E489" s="11" t="s">
        <v>102</v>
      </c>
      <c r="F489" s="10"/>
      <c r="G489" s="10">
        <v>1</v>
      </c>
      <c r="H489" s="10" t="s">
        <v>10</v>
      </c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4.25" customHeight="1" x14ac:dyDescent="0.3">
      <c r="A490" s="8"/>
      <c r="B490" s="38">
        <v>45617</v>
      </c>
      <c r="C490" s="9" t="s">
        <v>114</v>
      </c>
      <c r="D490" s="9" t="s">
        <v>12</v>
      </c>
      <c r="E490" s="11" t="s">
        <v>23</v>
      </c>
      <c r="F490" s="10">
        <v>10</v>
      </c>
      <c r="G490" s="10"/>
      <c r="H490" s="10" t="s">
        <v>18</v>
      </c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4.25" customHeight="1" x14ac:dyDescent="0.3">
      <c r="A491" s="8"/>
      <c r="B491" s="38">
        <v>45617</v>
      </c>
      <c r="C491" s="20" t="s">
        <v>189</v>
      </c>
      <c r="D491" s="9" t="s">
        <v>12</v>
      </c>
      <c r="E491" s="11" t="s">
        <v>92</v>
      </c>
      <c r="F491" s="10"/>
      <c r="G491" s="10">
        <v>36</v>
      </c>
      <c r="H491" s="10" t="s">
        <v>10</v>
      </c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4.25" customHeight="1" x14ac:dyDescent="0.3">
      <c r="A492" s="8"/>
      <c r="B492" s="38">
        <v>45617</v>
      </c>
      <c r="C492" s="9" t="s">
        <v>43</v>
      </c>
      <c r="D492" s="9" t="s">
        <v>20</v>
      </c>
      <c r="E492" s="11" t="s">
        <v>44</v>
      </c>
      <c r="F492" s="10"/>
      <c r="G492" s="10">
        <v>1.5</v>
      </c>
      <c r="H492" s="10" t="s">
        <v>10</v>
      </c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4.25" customHeight="1" x14ac:dyDescent="0.3">
      <c r="A493" s="8"/>
      <c r="B493" s="38">
        <v>45617</v>
      </c>
      <c r="C493" s="9" t="s">
        <v>39</v>
      </c>
      <c r="D493" s="9" t="s">
        <v>20</v>
      </c>
      <c r="E493" s="11" t="s">
        <v>40</v>
      </c>
      <c r="F493" s="10"/>
      <c r="G493" s="10">
        <v>6</v>
      </c>
      <c r="H493" s="10" t="s">
        <v>10</v>
      </c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4.25" customHeight="1" x14ac:dyDescent="0.3">
      <c r="A494" s="8"/>
      <c r="B494" s="38">
        <v>45617</v>
      </c>
      <c r="C494" s="9" t="s">
        <v>41</v>
      </c>
      <c r="D494" s="9" t="s">
        <v>20</v>
      </c>
      <c r="E494" s="11" t="s">
        <v>42</v>
      </c>
      <c r="F494" s="10"/>
      <c r="G494" s="10">
        <v>1.3</v>
      </c>
      <c r="H494" s="10" t="s">
        <v>10</v>
      </c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4.25" customHeight="1" x14ac:dyDescent="0.3">
      <c r="A495" s="8"/>
      <c r="B495" s="38">
        <v>45617</v>
      </c>
      <c r="C495" s="9" t="s">
        <v>51</v>
      </c>
      <c r="D495" s="9" t="s">
        <v>20</v>
      </c>
      <c r="E495" s="11" t="s">
        <v>52</v>
      </c>
      <c r="F495" s="10"/>
      <c r="G495" s="10">
        <v>1.2</v>
      </c>
      <c r="H495" s="10" t="s">
        <v>10</v>
      </c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4.25" customHeight="1" x14ac:dyDescent="0.3">
      <c r="A496" s="8"/>
      <c r="B496" s="38">
        <v>45617</v>
      </c>
      <c r="C496" s="14" t="s">
        <v>110</v>
      </c>
      <c r="D496" s="9" t="s">
        <v>12</v>
      </c>
      <c r="E496" s="11" t="s">
        <v>111</v>
      </c>
      <c r="F496" s="10"/>
      <c r="G496" s="10">
        <v>4</v>
      </c>
      <c r="H496" s="10" t="s">
        <v>10</v>
      </c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4.25" customHeight="1" x14ac:dyDescent="0.3">
      <c r="A497" s="8"/>
      <c r="B497" s="38">
        <v>45618</v>
      </c>
      <c r="C497" s="9" t="s">
        <v>51</v>
      </c>
      <c r="D497" s="9" t="s">
        <v>20</v>
      </c>
      <c r="E497" s="11" t="s">
        <v>52</v>
      </c>
      <c r="F497" s="10"/>
      <c r="G497" s="10">
        <v>0.9</v>
      </c>
      <c r="H497" s="10" t="s">
        <v>10</v>
      </c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4.25" customHeight="1" x14ac:dyDescent="0.3">
      <c r="A498" s="8"/>
      <c r="B498" s="38">
        <v>45618</v>
      </c>
      <c r="C498" s="9" t="s">
        <v>53</v>
      </c>
      <c r="D498" s="9" t="s">
        <v>12</v>
      </c>
      <c r="E498" s="11" t="s">
        <v>54</v>
      </c>
      <c r="F498" s="10">
        <v>25</v>
      </c>
      <c r="G498" s="10"/>
      <c r="H498" s="10" t="s">
        <v>18</v>
      </c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4.25" customHeight="1" x14ac:dyDescent="0.3">
      <c r="A499" s="8"/>
      <c r="B499" s="38">
        <v>45618</v>
      </c>
      <c r="C499" s="26" t="s">
        <v>68</v>
      </c>
      <c r="D499" s="9" t="s">
        <v>12</v>
      </c>
      <c r="E499" s="11" t="s">
        <v>69</v>
      </c>
      <c r="F499" s="10">
        <v>8</v>
      </c>
      <c r="G499" s="10"/>
      <c r="H499" s="10" t="s">
        <v>18</v>
      </c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4.25" customHeight="1" x14ac:dyDescent="0.3">
      <c r="A500" s="8"/>
      <c r="B500" s="38">
        <v>45618</v>
      </c>
      <c r="C500" s="9" t="s">
        <v>39</v>
      </c>
      <c r="D500" s="9" t="s">
        <v>20</v>
      </c>
      <c r="E500" s="11" t="s">
        <v>40</v>
      </c>
      <c r="F500" s="10">
        <v>10</v>
      </c>
      <c r="G500" s="10"/>
      <c r="H500" s="10" t="s">
        <v>18</v>
      </c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4.25" customHeight="1" x14ac:dyDescent="0.3">
      <c r="A501" s="8"/>
      <c r="B501" s="38">
        <v>45618</v>
      </c>
      <c r="C501" s="9" t="s">
        <v>41</v>
      </c>
      <c r="D501" s="9" t="s">
        <v>20</v>
      </c>
      <c r="E501" s="11" t="s">
        <v>42</v>
      </c>
      <c r="F501" s="10">
        <v>4.9000000000000004</v>
      </c>
      <c r="G501" s="10"/>
      <c r="H501" s="10" t="s">
        <v>18</v>
      </c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4.25" customHeight="1" x14ac:dyDescent="0.3">
      <c r="A502" s="8"/>
      <c r="B502" s="38">
        <v>45618</v>
      </c>
      <c r="C502" s="9" t="s">
        <v>51</v>
      </c>
      <c r="D502" s="9" t="s">
        <v>20</v>
      </c>
      <c r="E502" s="11" t="s">
        <v>52</v>
      </c>
      <c r="F502" s="10">
        <v>1</v>
      </c>
      <c r="G502" s="10"/>
      <c r="H502" s="10" t="s">
        <v>18</v>
      </c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4.25" customHeight="1" x14ac:dyDescent="0.3">
      <c r="A503" s="8"/>
      <c r="B503" s="38">
        <v>45618</v>
      </c>
      <c r="C503" s="9" t="s">
        <v>57</v>
      </c>
      <c r="D503" s="9" t="s">
        <v>12</v>
      </c>
      <c r="E503" s="11" t="s">
        <v>58</v>
      </c>
      <c r="F503" s="10"/>
      <c r="G503" s="10">
        <v>80</v>
      </c>
      <c r="H503" s="10" t="s">
        <v>10</v>
      </c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4.25" customHeight="1" x14ac:dyDescent="0.3">
      <c r="A504" s="8"/>
      <c r="B504" s="38">
        <v>45618</v>
      </c>
      <c r="C504" s="18" t="s">
        <v>108</v>
      </c>
      <c r="D504" s="25" t="s">
        <v>113</v>
      </c>
      <c r="E504" s="11" t="s">
        <v>109</v>
      </c>
      <c r="F504" s="10"/>
      <c r="G504" s="10">
        <v>2</v>
      </c>
      <c r="H504" s="10" t="s">
        <v>10</v>
      </c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4.25" customHeight="1" x14ac:dyDescent="0.3">
      <c r="A505" s="8"/>
      <c r="B505" s="38">
        <v>45620</v>
      </c>
      <c r="C505" s="9" t="s">
        <v>45</v>
      </c>
      <c r="D505" s="9" t="s">
        <v>12</v>
      </c>
      <c r="E505" s="11" t="s">
        <v>59</v>
      </c>
      <c r="F505" s="10"/>
      <c r="G505" s="10">
        <v>80</v>
      </c>
      <c r="H505" s="10" t="s">
        <v>10</v>
      </c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4.25" customHeight="1" x14ac:dyDescent="0.3">
      <c r="A506" s="8"/>
      <c r="B506" s="38">
        <v>45620</v>
      </c>
      <c r="C506" s="9" t="s">
        <v>7</v>
      </c>
      <c r="D506" s="9" t="s">
        <v>8</v>
      </c>
      <c r="E506" s="11" t="s">
        <v>9</v>
      </c>
      <c r="F506" s="10"/>
      <c r="G506" s="10">
        <v>1</v>
      </c>
      <c r="H506" s="10" t="s">
        <v>10</v>
      </c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4.25" customHeight="1" x14ac:dyDescent="0.3">
      <c r="A507" s="8"/>
      <c r="B507" s="38">
        <v>45620</v>
      </c>
      <c r="C507" s="9" t="s">
        <v>75</v>
      </c>
      <c r="D507" s="9" t="s">
        <v>8</v>
      </c>
      <c r="E507" s="11" t="s">
        <v>76</v>
      </c>
      <c r="F507" s="10"/>
      <c r="G507" s="10">
        <v>1</v>
      </c>
      <c r="H507" s="10" t="s">
        <v>10</v>
      </c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4.25" customHeight="1" x14ac:dyDescent="0.3">
      <c r="A508" s="8"/>
      <c r="B508" s="38">
        <v>45621</v>
      </c>
      <c r="C508" s="9" t="s">
        <v>114</v>
      </c>
      <c r="D508" s="9" t="s">
        <v>12</v>
      </c>
      <c r="E508" s="11" t="s">
        <v>23</v>
      </c>
      <c r="F508" s="10"/>
      <c r="G508" s="10">
        <v>10</v>
      </c>
      <c r="H508" s="10" t="s">
        <v>10</v>
      </c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4.25" customHeight="1" x14ac:dyDescent="0.3">
      <c r="A509" s="8"/>
      <c r="B509" s="38">
        <v>45621</v>
      </c>
      <c r="C509" s="20" t="s">
        <v>189</v>
      </c>
      <c r="D509" s="9" t="s">
        <v>12</v>
      </c>
      <c r="E509" s="11" t="s">
        <v>92</v>
      </c>
      <c r="F509" s="10">
        <f>247+12-60</f>
        <v>199</v>
      </c>
      <c r="G509" s="10"/>
      <c r="H509" s="10" t="s">
        <v>18</v>
      </c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4.25" customHeight="1" x14ac:dyDescent="0.3">
      <c r="A510" s="8"/>
      <c r="B510" s="38">
        <v>45621</v>
      </c>
      <c r="C510" s="9" t="s">
        <v>51</v>
      </c>
      <c r="D510" s="9" t="s">
        <v>20</v>
      </c>
      <c r="E510" s="11" t="s">
        <v>44</v>
      </c>
      <c r="F510" s="10"/>
      <c r="G510" s="10">
        <f>13.1-10.6</f>
        <v>2.5</v>
      </c>
      <c r="H510" s="10" t="s">
        <v>10</v>
      </c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4.25" customHeight="1" x14ac:dyDescent="0.3">
      <c r="A511" s="8"/>
      <c r="B511" s="38">
        <v>45621</v>
      </c>
      <c r="C511" s="9" t="s">
        <v>39</v>
      </c>
      <c r="D511" s="9" t="s">
        <v>20</v>
      </c>
      <c r="E511" s="11" t="s">
        <v>40</v>
      </c>
      <c r="F511" s="10"/>
      <c r="G511" s="10">
        <f>11.5-3.6</f>
        <v>7.9</v>
      </c>
      <c r="H511" s="10" t="s">
        <v>10</v>
      </c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4.25" customHeight="1" x14ac:dyDescent="0.3">
      <c r="A512" s="8"/>
      <c r="B512" s="38">
        <v>45621</v>
      </c>
      <c r="C512" s="9" t="s">
        <v>41</v>
      </c>
      <c r="D512" s="9" t="s">
        <v>20</v>
      </c>
      <c r="E512" s="11" t="s">
        <v>42</v>
      </c>
      <c r="F512" s="10"/>
      <c r="G512" s="10">
        <f>10.1-4.3</f>
        <v>5.8</v>
      </c>
      <c r="H512" s="10" t="s">
        <v>10</v>
      </c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4.25" customHeight="1" x14ac:dyDescent="0.3">
      <c r="A513" s="8"/>
      <c r="B513" s="38">
        <v>45621</v>
      </c>
      <c r="C513" s="14" t="s">
        <v>110</v>
      </c>
      <c r="D513" s="9" t="s">
        <v>12</v>
      </c>
      <c r="E513" s="11" t="s">
        <v>111</v>
      </c>
      <c r="F513" s="10"/>
      <c r="G513" s="10">
        <f>13-9</f>
        <v>4</v>
      </c>
      <c r="H513" s="10" t="s">
        <v>10</v>
      </c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4.25" customHeight="1" x14ac:dyDescent="0.3">
      <c r="A514" s="8"/>
      <c r="B514" s="38">
        <v>45621</v>
      </c>
      <c r="C514" s="18" t="s">
        <v>115</v>
      </c>
      <c r="D514" s="9" t="s">
        <v>12</v>
      </c>
      <c r="E514" s="25" t="s">
        <v>116</v>
      </c>
      <c r="F514" s="10">
        <v>19</v>
      </c>
      <c r="G514" s="10"/>
      <c r="H514" s="10" t="s">
        <v>18</v>
      </c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4.25" customHeight="1" x14ac:dyDescent="0.3">
      <c r="A515" s="8"/>
      <c r="B515" s="38">
        <v>45621</v>
      </c>
      <c r="C515" s="18" t="s">
        <v>24</v>
      </c>
      <c r="D515" s="9" t="s">
        <v>12</v>
      </c>
      <c r="E515" s="25" t="s">
        <v>25</v>
      </c>
      <c r="F515" s="10">
        <v>24</v>
      </c>
      <c r="G515" s="10"/>
      <c r="H515" s="10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4.25" customHeight="1" x14ac:dyDescent="0.3">
      <c r="A516" s="8"/>
      <c r="B516" s="38">
        <v>45622</v>
      </c>
      <c r="C516" s="9" t="s">
        <v>53</v>
      </c>
      <c r="D516" s="9" t="s">
        <v>12</v>
      </c>
      <c r="E516" s="11" t="s">
        <v>54</v>
      </c>
      <c r="F516" s="10"/>
      <c r="G516" s="10">
        <v>15</v>
      </c>
      <c r="H516" s="10" t="s">
        <v>10</v>
      </c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4.25" customHeight="1" x14ac:dyDescent="0.3">
      <c r="A517" s="8"/>
      <c r="B517" s="38">
        <v>45622</v>
      </c>
      <c r="C517" s="18" t="s">
        <v>24</v>
      </c>
      <c r="D517" s="9" t="s">
        <v>12</v>
      </c>
      <c r="E517" s="25" t="s">
        <v>25</v>
      </c>
      <c r="F517" s="10"/>
      <c r="G517" s="10">
        <v>24</v>
      </c>
      <c r="H517" s="10" t="s">
        <v>10</v>
      </c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4.25" customHeight="1" x14ac:dyDescent="0.3">
      <c r="A518" s="8"/>
      <c r="B518" s="38">
        <v>45622</v>
      </c>
      <c r="C518" s="9" t="s">
        <v>53</v>
      </c>
      <c r="D518" s="9" t="s">
        <v>12</v>
      </c>
      <c r="E518" s="11" t="s">
        <v>54</v>
      </c>
      <c r="F518" s="10"/>
      <c r="G518" s="10">
        <v>10</v>
      </c>
      <c r="H518" s="10" t="s">
        <v>10</v>
      </c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4.25" customHeight="1" x14ac:dyDescent="0.3">
      <c r="A519" s="8"/>
      <c r="B519" s="38">
        <v>45622</v>
      </c>
      <c r="C519" s="18" t="s">
        <v>117</v>
      </c>
      <c r="D519" s="25" t="s">
        <v>33</v>
      </c>
      <c r="E519" s="11" t="s">
        <v>118</v>
      </c>
      <c r="F519" s="10"/>
      <c r="G519" s="10">
        <v>1</v>
      </c>
      <c r="H519" s="10" t="s">
        <v>10</v>
      </c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4.25" customHeight="1" x14ac:dyDescent="0.3">
      <c r="A520" s="8"/>
      <c r="B520" s="38">
        <v>45622</v>
      </c>
      <c r="C520" s="18" t="s">
        <v>117</v>
      </c>
      <c r="D520" s="25" t="s">
        <v>33</v>
      </c>
      <c r="E520" s="11" t="s">
        <v>118</v>
      </c>
      <c r="F520" s="10">
        <v>1</v>
      </c>
      <c r="G520" s="10"/>
      <c r="H520" s="10" t="s">
        <v>18</v>
      </c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4.25" customHeight="1" x14ac:dyDescent="0.3">
      <c r="A521" s="8"/>
      <c r="B521" s="47">
        <v>45622</v>
      </c>
      <c r="C521" s="18" t="s">
        <v>119</v>
      </c>
      <c r="D521" s="34" t="s">
        <v>113</v>
      </c>
      <c r="E521" s="35" t="s">
        <v>109</v>
      </c>
      <c r="F521" s="36">
        <v>2</v>
      </c>
      <c r="G521" s="36"/>
      <c r="H521" s="36" t="s">
        <v>18</v>
      </c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4.25" customHeight="1" x14ac:dyDescent="0.3">
      <c r="A522" s="8"/>
      <c r="B522" s="38">
        <v>45623</v>
      </c>
      <c r="C522" s="9" t="s">
        <v>51</v>
      </c>
      <c r="D522" s="9" t="s">
        <v>20</v>
      </c>
      <c r="E522" s="11" t="s">
        <v>44</v>
      </c>
      <c r="F522" s="10">
        <v>2</v>
      </c>
      <c r="G522" s="10"/>
      <c r="H522" s="10" t="s">
        <v>18</v>
      </c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4.25" customHeight="1" x14ac:dyDescent="0.3">
      <c r="A523" s="8"/>
      <c r="B523" s="38">
        <v>45624</v>
      </c>
      <c r="C523" s="9" t="s">
        <v>41</v>
      </c>
      <c r="D523" s="9" t="s">
        <v>20</v>
      </c>
      <c r="E523" s="11" t="s">
        <v>42</v>
      </c>
      <c r="F523" s="10"/>
      <c r="G523" s="10">
        <v>1</v>
      </c>
      <c r="H523" s="10" t="s">
        <v>10</v>
      </c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4.25" customHeight="1" x14ac:dyDescent="0.3">
      <c r="A524" s="8"/>
      <c r="B524" s="38">
        <v>45624</v>
      </c>
      <c r="C524" s="9" t="s">
        <v>7</v>
      </c>
      <c r="D524" s="9" t="s">
        <v>8</v>
      </c>
      <c r="E524" s="11" t="s">
        <v>9</v>
      </c>
      <c r="F524" s="10"/>
      <c r="G524" s="10">
        <v>1</v>
      </c>
      <c r="H524" s="10" t="s">
        <v>10</v>
      </c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4.25" customHeight="1" x14ac:dyDescent="0.3">
      <c r="A525" s="8"/>
      <c r="B525" s="38">
        <v>45624</v>
      </c>
      <c r="C525" s="9" t="s">
        <v>30</v>
      </c>
      <c r="D525" s="9" t="s">
        <v>8</v>
      </c>
      <c r="E525" s="11" t="s">
        <v>31</v>
      </c>
      <c r="F525" s="10"/>
      <c r="G525" s="10">
        <v>1</v>
      </c>
      <c r="H525" s="10" t="s">
        <v>10</v>
      </c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4.25" customHeight="1" x14ac:dyDescent="0.3">
      <c r="A526" s="8"/>
      <c r="B526" s="38">
        <v>45624</v>
      </c>
      <c r="C526" s="9" t="s">
        <v>7</v>
      </c>
      <c r="D526" s="9" t="s">
        <v>8</v>
      </c>
      <c r="E526" s="11" t="s">
        <v>9</v>
      </c>
      <c r="F526" s="10">
        <v>1</v>
      </c>
      <c r="G526" s="10"/>
      <c r="H526" s="10" t="s">
        <v>18</v>
      </c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4.25" customHeight="1" x14ac:dyDescent="0.3">
      <c r="A527" s="8"/>
      <c r="B527" s="38">
        <v>45624</v>
      </c>
      <c r="C527" s="9" t="s">
        <v>30</v>
      </c>
      <c r="D527" s="9" t="s">
        <v>8</v>
      </c>
      <c r="E527" s="11" t="s">
        <v>31</v>
      </c>
      <c r="F527" s="10">
        <v>1</v>
      </c>
      <c r="G527" s="10"/>
      <c r="H527" s="10" t="s">
        <v>18</v>
      </c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4.25" customHeight="1" x14ac:dyDescent="0.3">
      <c r="A528" s="8"/>
      <c r="B528" s="38">
        <v>45624</v>
      </c>
      <c r="C528" s="9" t="s">
        <v>39</v>
      </c>
      <c r="D528" s="9" t="s">
        <v>20</v>
      </c>
      <c r="E528" s="11" t="s">
        <v>40</v>
      </c>
      <c r="F528" s="10">
        <v>5</v>
      </c>
      <c r="G528" s="10"/>
      <c r="H528" s="10" t="s">
        <v>18</v>
      </c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4.25" customHeight="1" x14ac:dyDescent="0.3">
      <c r="A529" s="8"/>
      <c r="B529" s="38">
        <v>45624</v>
      </c>
      <c r="C529" s="9" t="s">
        <v>41</v>
      </c>
      <c r="D529" s="9" t="s">
        <v>20</v>
      </c>
      <c r="E529" s="11" t="s">
        <v>42</v>
      </c>
      <c r="F529" s="10">
        <v>8.4</v>
      </c>
      <c r="G529" s="10"/>
      <c r="H529" s="10" t="s">
        <v>18</v>
      </c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4.25" customHeight="1" x14ac:dyDescent="0.3">
      <c r="A530" s="8"/>
      <c r="B530" s="38">
        <v>45624</v>
      </c>
      <c r="C530" s="20" t="s">
        <v>189</v>
      </c>
      <c r="D530" s="9" t="s">
        <v>12</v>
      </c>
      <c r="E530" s="11" t="s">
        <v>92</v>
      </c>
      <c r="F530" s="10"/>
      <c r="G530" s="10">
        <v>35</v>
      </c>
      <c r="H530" s="10" t="s">
        <v>10</v>
      </c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4.25" customHeight="1" x14ac:dyDescent="0.3">
      <c r="A531" s="8"/>
      <c r="B531" s="38">
        <v>45624</v>
      </c>
      <c r="C531" s="18" t="s">
        <v>115</v>
      </c>
      <c r="D531" s="9" t="s">
        <v>12</v>
      </c>
      <c r="E531" s="25" t="s">
        <v>116</v>
      </c>
      <c r="F531" s="10"/>
      <c r="G531" s="10">
        <v>2</v>
      </c>
      <c r="H531" s="10" t="s">
        <v>10</v>
      </c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4.25" customHeight="1" x14ac:dyDescent="0.3">
      <c r="A532" s="8"/>
      <c r="B532" s="38">
        <v>45624</v>
      </c>
      <c r="C532" s="14" t="s">
        <v>110</v>
      </c>
      <c r="D532" s="9" t="s">
        <v>12</v>
      </c>
      <c r="E532" s="11" t="s">
        <v>111</v>
      </c>
      <c r="F532" s="10"/>
      <c r="G532" s="10">
        <v>9</v>
      </c>
      <c r="H532" s="10" t="s">
        <v>10</v>
      </c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4.25" customHeight="1" x14ac:dyDescent="0.3">
      <c r="A533" s="8"/>
      <c r="B533" s="38">
        <v>45624</v>
      </c>
      <c r="C533" s="14" t="s">
        <v>61</v>
      </c>
      <c r="D533" s="9" t="s">
        <v>20</v>
      </c>
      <c r="E533" s="11" t="s">
        <v>62</v>
      </c>
      <c r="F533" s="10"/>
      <c r="G533" s="10">
        <f>6.6-2.5</f>
        <v>4.0999999999999996</v>
      </c>
      <c r="H533" s="10" t="s">
        <v>10</v>
      </c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4.25" customHeight="1" x14ac:dyDescent="0.3">
      <c r="A534" s="8"/>
      <c r="B534" s="38">
        <v>45624</v>
      </c>
      <c r="C534" s="9" t="s">
        <v>43</v>
      </c>
      <c r="D534" s="9" t="s">
        <v>20</v>
      </c>
      <c r="E534" s="11" t="s">
        <v>44</v>
      </c>
      <c r="F534" s="10"/>
      <c r="G534" s="10">
        <f>12.6-8</f>
        <v>4.5999999999999996</v>
      </c>
      <c r="H534" s="10" t="s">
        <v>10</v>
      </c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4.25" customHeight="1" x14ac:dyDescent="0.3">
      <c r="A535" s="8"/>
      <c r="B535" s="38">
        <v>45624</v>
      </c>
      <c r="C535" s="9" t="s">
        <v>77</v>
      </c>
      <c r="D535" s="9" t="s">
        <v>20</v>
      </c>
      <c r="E535" s="11" t="s">
        <v>78</v>
      </c>
      <c r="F535" s="10"/>
      <c r="G535" s="10">
        <v>0.4</v>
      </c>
      <c r="H535" s="10" t="s">
        <v>10</v>
      </c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4.25" customHeight="1" x14ac:dyDescent="0.3">
      <c r="A536" s="8"/>
      <c r="B536" s="38">
        <v>45624</v>
      </c>
      <c r="C536" s="9" t="s">
        <v>39</v>
      </c>
      <c r="D536" s="9" t="s">
        <v>20</v>
      </c>
      <c r="E536" s="11" t="s">
        <v>40</v>
      </c>
      <c r="F536" s="10"/>
      <c r="G536" s="10">
        <v>3.6</v>
      </c>
      <c r="H536" s="10" t="s">
        <v>10</v>
      </c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4.25" customHeight="1" x14ac:dyDescent="0.3">
      <c r="A537" s="8"/>
      <c r="B537" s="38">
        <v>45624</v>
      </c>
      <c r="C537" s="9" t="s">
        <v>68</v>
      </c>
      <c r="D537" s="9" t="s">
        <v>12</v>
      </c>
      <c r="E537" s="11" t="s">
        <v>69</v>
      </c>
      <c r="F537" s="10"/>
      <c r="G537" s="10">
        <v>8</v>
      </c>
      <c r="H537" s="10" t="s">
        <v>10</v>
      </c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4.25" customHeight="1" x14ac:dyDescent="0.3">
      <c r="A538" s="8"/>
      <c r="B538" s="38">
        <v>45624</v>
      </c>
      <c r="C538" s="9" t="s">
        <v>28</v>
      </c>
      <c r="D538" s="9" t="s">
        <v>8</v>
      </c>
      <c r="E538" s="11" t="s">
        <v>29</v>
      </c>
      <c r="F538" s="10"/>
      <c r="G538" s="10">
        <v>1</v>
      </c>
      <c r="H538" s="10" t="s">
        <v>10</v>
      </c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4.25" customHeight="1" x14ac:dyDescent="0.3">
      <c r="A539" s="8"/>
      <c r="B539" s="38">
        <v>45625</v>
      </c>
      <c r="C539" s="9" t="s">
        <v>7</v>
      </c>
      <c r="D539" s="9" t="s">
        <v>8</v>
      </c>
      <c r="E539" s="11" t="s">
        <v>9</v>
      </c>
      <c r="F539" s="10">
        <v>3</v>
      </c>
      <c r="G539" s="10"/>
      <c r="H539" s="10" t="s">
        <v>18</v>
      </c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4.25" customHeight="1" x14ac:dyDescent="0.3">
      <c r="A540" s="8"/>
      <c r="B540" s="38">
        <v>45625</v>
      </c>
      <c r="C540" s="9" t="s">
        <v>30</v>
      </c>
      <c r="D540" s="9" t="s">
        <v>8</v>
      </c>
      <c r="E540" s="11" t="s">
        <v>31</v>
      </c>
      <c r="F540" s="10">
        <v>1</v>
      </c>
      <c r="G540" s="10"/>
      <c r="H540" s="10" t="s">
        <v>18</v>
      </c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4.25" customHeight="1" x14ac:dyDescent="0.3">
      <c r="A541" s="8"/>
      <c r="B541" s="38">
        <v>45625</v>
      </c>
      <c r="C541" s="9" t="s">
        <v>28</v>
      </c>
      <c r="D541" s="9" t="s">
        <v>8</v>
      </c>
      <c r="E541" s="11" t="s">
        <v>29</v>
      </c>
      <c r="F541" s="10">
        <v>3</v>
      </c>
      <c r="G541" s="10"/>
      <c r="H541" s="10" t="s">
        <v>18</v>
      </c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4.25" customHeight="1" x14ac:dyDescent="0.3">
      <c r="A542" s="8"/>
      <c r="B542" s="38">
        <v>45625</v>
      </c>
      <c r="C542" s="9" t="s">
        <v>75</v>
      </c>
      <c r="D542" s="9" t="s">
        <v>8</v>
      </c>
      <c r="E542" s="11" t="s">
        <v>76</v>
      </c>
      <c r="F542" s="10">
        <v>1</v>
      </c>
      <c r="G542" s="10"/>
      <c r="H542" s="10" t="s">
        <v>18</v>
      </c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4.25" customHeight="1" x14ac:dyDescent="0.3">
      <c r="A543" s="8"/>
      <c r="B543" s="38">
        <v>45626</v>
      </c>
      <c r="C543" s="9" t="s">
        <v>55</v>
      </c>
      <c r="D543" s="9" t="s">
        <v>12</v>
      </c>
      <c r="E543" s="11" t="s">
        <v>56</v>
      </c>
      <c r="F543" s="10"/>
      <c r="G543" s="10">
        <v>30</v>
      </c>
      <c r="H543" s="10" t="s">
        <v>10</v>
      </c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4.25" customHeight="1" x14ac:dyDescent="0.3">
      <c r="A544" s="8"/>
      <c r="B544" s="38">
        <v>45626</v>
      </c>
      <c r="C544" s="9" t="s">
        <v>45</v>
      </c>
      <c r="D544" s="9" t="s">
        <v>12</v>
      </c>
      <c r="E544" s="11" t="s">
        <v>59</v>
      </c>
      <c r="F544" s="10"/>
      <c r="G544" s="10">
        <v>80</v>
      </c>
      <c r="H544" s="10" t="s">
        <v>10</v>
      </c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4.25" customHeight="1" x14ac:dyDescent="0.3">
      <c r="A545" s="8"/>
      <c r="B545" s="47">
        <v>45626</v>
      </c>
      <c r="C545" s="14" t="s">
        <v>11</v>
      </c>
      <c r="D545" s="9" t="s">
        <v>12</v>
      </c>
      <c r="E545" s="18" t="s">
        <v>13</v>
      </c>
      <c r="F545" s="36">
        <v>40</v>
      </c>
      <c r="G545" s="36"/>
      <c r="H545" s="36" t="s">
        <v>18</v>
      </c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4.25" customHeight="1" x14ac:dyDescent="0.3">
      <c r="A546" s="8"/>
      <c r="B546" s="47">
        <v>45626</v>
      </c>
      <c r="C546" s="9" t="s">
        <v>53</v>
      </c>
      <c r="D546" s="9" t="s">
        <v>12</v>
      </c>
      <c r="E546" s="11" t="s">
        <v>54</v>
      </c>
      <c r="F546" s="10">
        <v>15</v>
      </c>
      <c r="G546" s="10"/>
      <c r="H546" s="10" t="s">
        <v>18</v>
      </c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4.25" customHeight="1" x14ac:dyDescent="0.3">
      <c r="A547" s="8"/>
      <c r="B547" s="47">
        <v>45626</v>
      </c>
      <c r="C547" s="9" t="s">
        <v>39</v>
      </c>
      <c r="D547" s="9" t="s">
        <v>20</v>
      </c>
      <c r="E547" s="11" t="s">
        <v>40</v>
      </c>
      <c r="F547" s="10">
        <v>5</v>
      </c>
      <c r="G547" s="10"/>
      <c r="H547" s="10" t="s">
        <v>18</v>
      </c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4.25" customHeight="1" x14ac:dyDescent="0.3">
      <c r="A548" s="8"/>
      <c r="B548" s="47">
        <v>45626</v>
      </c>
      <c r="C548" s="9" t="s">
        <v>41</v>
      </c>
      <c r="D548" s="9" t="s">
        <v>20</v>
      </c>
      <c r="E548" s="11" t="s">
        <v>42</v>
      </c>
      <c r="F548" s="10">
        <v>5</v>
      </c>
      <c r="G548" s="10"/>
      <c r="H548" s="10" t="s">
        <v>18</v>
      </c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4.25" customHeight="1" x14ac:dyDescent="0.3">
      <c r="A549" s="8"/>
      <c r="B549" s="38">
        <v>45626</v>
      </c>
      <c r="C549" s="14" t="s">
        <v>61</v>
      </c>
      <c r="D549" s="9" t="s">
        <v>20</v>
      </c>
      <c r="E549" s="18" t="s">
        <v>62</v>
      </c>
      <c r="F549" s="10">
        <v>10</v>
      </c>
      <c r="G549" s="10"/>
      <c r="H549" s="10" t="s">
        <v>18</v>
      </c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4.25" customHeight="1" x14ac:dyDescent="0.3">
      <c r="A550" s="8"/>
      <c r="B550" s="38">
        <v>45626</v>
      </c>
      <c r="C550" s="9" t="s">
        <v>28</v>
      </c>
      <c r="D550" s="9" t="s">
        <v>8</v>
      </c>
      <c r="E550" s="11" t="s">
        <v>29</v>
      </c>
      <c r="F550" s="10"/>
      <c r="G550" s="10">
        <v>2</v>
      </c>
      <c r="H550" s="10" t="s">
        <v>10</v>
      </c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4.25" customHeight="1" x14ac:dyDescent="0.3">
      <c r="A551" s="8"/>
      <c r="B551" s="38">
        <v>45626</v>
      </c>
      <c r="C551" s="9" t="s">
        <v>7</v>
      </c>
      <c r="D551" s="9" t="s">
        <v>8</v>
      </c>
      <c r="E551" s="11" t="s">
        <v>9</v>
      </c>
      <c r="F551" s="10"/>
      <c r="G551" s="10">
        <v>2</v>
      </c>
      <c r="H551" s="10" t="s">
        <v>10</v>
      </c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4.25" customHeight="1" x14ac:dyDescent="0.3">
      <c r="A552" s="8"/>
      <c r="B552" s="38">
        <v>45626</v>
      </c>
      <c r="C552" s="9" t="s">
        <v>30</v>
      </c>
      <c r="D552" s="9" t="s">
        <v>8</v>
      </c>
      <c r="E552" s="11" t="s">
        <v>31</v>
      </c>
      <c r="F552" s="10"/>
      <c r="G552" s="10">
        <v>2</v>
      </c>
      <c r="H552" s="10" t="s">
        <v>10</v>
      </c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4.25" customHeight="1" x14ac:dyDescent="0.3">
      <c r="A553" s="8"/>
      <c r="B553" s="38">
        <v>45626</v>
      </c>
      <c r="C553" s="9" t="s">
        <v>75</v>
      </c>
      <c r="D553" s="9" t="s">
        <v>8</v>
      </c>
      <c r="E553" s="11" t="s">
        <v>76</v>
      </c>
      <c r="F553" s="10"/>
      <c r="G553" s="10">
        <v>1</v>
      </c>
      <c r="H553" s="10" t="s">
        <v>10</v>
      </c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4.25" customHeight="1" x14ac:dyDescent="0.3">
      <c r="A554" s="8"/>
      <c r="B554" s="38">
        <v>45628</v>
      </c>
      <c r="C554" s="20" t="s">
        <v>189</v>
      </c>
      <c r="D554" s="9" t="s">
        <v>12</v>
      </c>
      <c r="E554" s="11" t="s">
        <v>92</v>
      </c>
      <c r="F554" s="10"/>
      <c r="G554" s="10">
        <f>224-143</f>
        <v>81</v>
      </c>
      <c r="H554" s="10" t="s">
        <v>10</v>
      </c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4.25" customHeight="1" x14ac:dyDescent="0.3">
      <c r="A555" s="8"/>
      <c r="B555" s="38">
        <v>45628</v>
      </c>
      <c r="C555" s="9" t="s">
        <v>43</v>
      </c>
      <c r="D555" s="9" t="s">
        <v>20</v>
      </c>
      <c r="E555" s="11" t="s">
        <v>44</v>
      </c>
      <c r="F555" s="10"/>
      <c r="G555" s="10">
        <f>8-3.2</f>
        <v>4.8</v>
      </c>
      <c r="H555" s="10" t="s">
        <v>10</v>
      </c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4.25" customHeight="1" x14ac:dyDescent="0.3">
      <c r="A556" s="8"/>
      <c r="B556" s="38">
        <v>45628</v>
      </c>
      <c r="C556" s="9" t="s">
        <v>73</v>
      </c>
      <c r="D556" s="9" t="s">
        <v>71</v>
      </c>
      <c r="E556" s="11" t="s">
        <v>74</v>
      </c>
      <c r="F556" s="10"/>
      <c r="G556" s="10">
        <v>1</v>
      </c>
      <c r="H556" s="10" t="s">
        <v>10</v>
      </c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4.25" customHeight="1" x14ac:dyDescent="0.3">
      <c r="A557" s="8"/>
      <c r="B557" s="38">
        <v>45628</v>
      </c>
      <c r="C557" s="9" t="s">
        <v>77</v>
      </c>
      <c r="D557" s="9" t="s">
        <v>20</v>
      </c>
      <c r="E557" s="11" t="s">
        <v>78</v>
      </c>
      <c r="F557" s="10">
        <v>0.6</v>
      </c>
      <c r="G557" s="10"/>
      <c r="H557" s="10" t="s">
        <v>18</v>
      </c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4.25" customHeight="1" x14ac:dyDescent="0.3">
      <c r="A558" s="8"/>
      <c r="B558" s="38">
        <v>45628</v>
      </c>
      <c r="C558" s="9" t="s">
        <v>39</v>
      </c>
      <c r="D558" s="9" t="s">
        <v>20</v>
      </c>
      <c r="E558" s="11" t="s">
        <v>40</v>
      </c>
      <c r="F558" s="10"/>
      <c r="G558" s="10">
        <v>1</v>
      </c>
      <c r="H558" s="10" t="s">
        <v>10</v>
      </c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4.25" customHeight="1" x14ac:dyDescent="0.3">
      <c r="A559" s="8"/>
      <c r="B559" s="38">
        <v>45628</v>
      </c>
      <c r="C559" s="9" t="s">
        <v>41</v>
      </c>
      <c r="D559" s="9" t="s">
        <v>20</v>
      </c>
      <c r="E559" s="11" t="s">
        <v>42</v>
      </c>
      <c r="F559" s="10"/>
      <c r="G559" s="10">
        <f>14.7-3.7</f>
        <v>11</v>
      </c>
      <c r="H559" s="10" t="s">
        <v>10</v>
      </c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4.25" customHeight="1" x14ac:dyDescent="0.3">
      <c r="A560" s="8"/>
      <c r="B560" s="38">
        <v>45628</v>
      </c>
      <c r="C560" s="9" t="s">
        <v>51</v>
      </c>
      <c r="D560" s="9" t="s">
        <v>20</v>
      </c>
      <c r="E560" s="11" t="s">
        <v>52</v>
      </c>
      <c r="F560" s="10">
        <v>3</v>
      </c>
      <c r="G560" s="10"/>
      <c r="H560" s="10" t="s">
        <v>18</v>
      </c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4.25" customHeight="1" x14ac:dyDescent="0.3">
      <c r="A561" s="8"/>
      <c r="B561" s="38">
        <v>45628</v>
      </c>
      <c r="C561" s="9" t="s">
        <v>80</v>
      </c>
      <c r="D561" s="9" t="s">
        <v>12</v>
      </c>
      <c r="E561" s="11" t="s">
        <v>81</v>
      </c>
      <c r="F561" s="10"/>
      <c r="G561" s="10">
        <v>1</v>
      </c>
      <c r="H561" s="10" t="s">
        <v>10</v>
      </c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4.25" customHeight="1" x14ac:dyDescent="0.3">
      <c r="A562" s="8"/>
      <c r="B562" s="38">
        <v>45628</v>
      </c>
      <c r="C562" s="42" t="s">
        <v>106</v>
      </c>
      <c r="D562" s="9" t="s">
        <v>12</v>
      </c>
      <c r="E562" s="11" t="s">
        <v>107</v>
      </c>
      <c r="F562" s="10"/>
      <c r="G562" s="10">
        <v>1</v>
      </c>
      <c r="H562" s="10" t="s">
        <v>10</v>
      </c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4.25" customHeight="1" x14ac:dyDescent="0.3">
      <c r="A563" s="8"/>
      <c r="B563" s="38">
        <v>45628</v>
      </c>
      <c r="C563" s="18" t="s">
        <v>108</v>
      </c>
      <c r="D563" s="25" t="s">
        <v>113</v>
      </c>
      <c r="E563" s="11" t="s">
        <v>109</v>
      </c>
      <c r="F563" s="10"/>
      <c r="G563" s="10">
        <v>2</v>
      </c>
      <c r="H563" s="10" t="s">
        <v>10</v>
      </c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4.25" customHeight="1" x14ac:dyDescent="0.3">
      <c r="A564" s="8"/>
      <c r="B564" s="38">
        <v>45628</v>
      </c>
      <c r="C564" s="20" t="s">
        <v>189</v>
      </c>
      <c r="D564" s="9" t="s">
        <v>12</v>
      </c>
      <c r="E564" s="11" t="s">
        <v>92</v>
      </c>
      <c r="F564" s="10"/>
      <c r="G564" s="10">
        <v>24</v>
      </c>
      <c r="H564" s="10" t="s">
        <v>120</v>
      </c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4.25" customHeight="1" x14ac:dyDescent="0.3">
      <c r="A565" s="8"/>
      <c r="B565" s="38">
        <v>45628</v>
      </c>
      <c r="C565" s="9" t="s">
        <v>75</v>
      </c>
      <c r="D565" s="9" t="s">
        <v>8</v>
      </c>
      <c r="E565" s="11" t="s">
        <v>76</v>
      </c>
      <c r="F565" s="10">
        <v>1</v>
      </c>
      <c r="G565" s="10"/>
      <c r="H565" s="10" t="s">
        <v>18</v>
      </c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4.25" customHeight="1" x14ac:dyDescent="0.3">
      <c r="A566" s="8"/>
      <c r="B566" s="38">
        <v>45628</v>
      </c>
      <c r="C566" s="9" t="s">
        <v>30</v>
      </c>
      <c r="D566" s="9" t="s">
        <v>8</v>
      </c>
      <c r="E566" s="11" t="s">
        <v>31</v>
      </c>
      <c r="F566" s="10">
        <v>1</v>
      </c>
      <c r="G566" s="10"/>
      <c r="H566" s="10" t="s">
        <v>18</v>
      </c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4.25" customHeight="1" x14ac:dyDescent="0.3">
      <c r="A567" s="8"/>
      <c r="B567" s="38">
        <v>45629</v>
      </c>
      <c r="C567" s="9" t="s">
        <v>95</v>
      </c>
      <c r="D567" s="9" t="s">
        <v>12</v>
      </c>
      <c r="E567" s="11" t="s">
        <v>96</v>
      </c>
      <c r="F567" s="10">
        <v>30</v>
      </c>
      <c r="G567" s="10"/>
      <c r="H567" s="10" t="s">
        <v>18</v>
      </c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4.25" customHeight="1" x14ac:dyDescent="0.3">
      <c r="A568" s="8"/>
      <c r="B568" s="38">
        <v>45629</v>
      </c>
      <c r="C568" s="9" t="s">
        <v>121</v>
      </c>
      <c r="D568" s="9" t="s">
        <v>20</v>
      </c>
      <c r="E568" s="11" t="s">
        <v>21</v>
      </c>
      <c r="F568" s="10">
        <v>10</v>
      </c>
      <c r="G568" s="10"/>
      <c r="H568" s="10" t="s">
        <v>18</v>
      </c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4.25" customHeight="1" x14ac:dyDescent="0.3">
      <c r="A569" s="8"/>
      <c r="B569" s="38">
        <v>45629</v>
      </c>
      <c r="C569" s="9" t="s">
        <v>30</v>
      </c>
      <c r="D569" s="9" t="s">
        <v>8</v>
      </c>
      <c r="E569" s="11" t="s">
        <v>31</v>
      </c>
      <c r="F569" s="10">
        <v>1</v>
      </c>
      <c r="G569" s="10"/>
      <c r="H569" s="10" t="s">
        <v>18</v>
      </c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4.25" customHeight="1" x14ac:dyDescent="0.3">
      <c r="A570" s="8"/>
      <c r="B570" s="38">
        <v>45629</v>
      </c>
      <c r="C570" s="9" t="s">
        <v>28</v>
      </c>
      <c r="D570" s="9" t="s">
        <v>8</v>
      </c>
      <c r="E570" s="11" t="s">
        <v>29</v>
      </c>
      <c r="F570" s="10">
        <v>1</v>
      </c>
      <c r="G570" s="10"/>
      <c r="H570" s="10" t="s">
        <v>18</v>
      </c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4.25" customHeight="1" x14ac:dyDescent="0.3">
      <c r="A571" s="8"/>
      <c r="B571" s="38">
        <v>45629</v>
      </c>
      <c r="C571" s="24" t="s">
        <v>122</v>
      </c>
      <c r="D571" s="9" t="s">
        <v>12</v>
      </c>
      <c r="E571" s="18" t="s">
        <v>123</v>
      </c>
      <c r="F571" s="10">
        <v>1</v>
      </c>
      <c r="G571" s="10"/>
      <c r="H571" s="10" t="s">
        <v>18</v>
      </c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4.25" customHeight="1" x14ac:dyDescent="0.3">
      <c r="A572" s="8"/>
      <c r="B572" s="38">
        <v>45629</v>
      </c>
      <c r="C572" s="9" t="s">
        <v>53</v>
      </c>
      <c r="D572" s="9" t="s">
        <v>12</v>
      </c>
      <c r="E572" s="11" t="s">
        <v>54</v>
      </c>
      <c r="F572" s="10"/>
      <c r="G572" s="10">
        <v>8</v>
      </c>
      <c r="H572" s="10" t="s">
        <v>10</v>
      </c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4.25" customHeight="1" x14ac:dyDescent="0.3">
      <c r="A573" s="8"/>
      <c r="B573" s="38">
        <v>45629</v>
      </c>
      <c r="C573" s="9" t="s">
        <v>28</v>
      </c>
      <c r="D573" s="9" t="s">
        <v>8</v>
      </c>
      <c r="E573" s="11" t="s">
        <v>29</v>
      </c>
      <c r="F573" s="10"/>
      <c r="G573" s="10">
        <v>1</v>
      </c>
      <c r="H573" s="10" t="s">
        <v>10</v>
      </c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4.25" customHeight="1" x14ac:dyDescent="0.3">
      <c r="A574" s="8"/>
      <c r="B574" s="38">
        <v>45631</v>
      </c>
      <c r="C574" s="20" t="s">
        <v>189</v>
      </c>
      <c r="D574" s="9" t="s">
        <v>12</v>
      </c>
      <c r="E574" s="11" t="s">
        <v>92</v>
      </c>
      <c r="F574" s="10"/>
      <c r="G574" s="10">
        <v>4</v>
      </c>
      <c r="H574" s="10" t="s">
        <v>10</v>
      </c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4.25" customHeight="1" x14ac:dyDescent="0.3">
      <c r="A575" s="8"/>
      <c r="B575" s="38">
        <v>45631</v>
      </c>
      <c r="C575" s="9" t="s">
        <v>30</v>
      </c>
      <c r="D575" s="9" t="s">
        <v>8</v>
      </c>
      <c r="E575" s="11" t="s">
        <v>124</v>
      </c>
      <c r="F575" s="10"/>
      <c r="G575" s="10">
        <v>1</v>
      </c>
      <c r="H575" s="10" t="s">
        <v>125</v>
      </c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4.25" customHeight="1" x14ac:dyDescent="0.3">
      <c r="A576" s="8"/>
      <c r="B576" s="38">
        <v>45631</v>
      </c>
      <c r="C576" s="9" t="s">
        <v>39</v>
      </c>
      <c r="D576" s="9" t="s">
        <v>20</v>
      </c>
      <c r="E576" s="11" t="s">
        <v>40</v>
      </c>
      <c r="F576" s="10"/>
      <c r="G576" s="10">
        <f>9-5.8</f>
        <v>3.2</v>
      </c>
      <c r="H576" s="10" t="s">
        <v>10</v>
      </c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4.25" customHeight="1" x14ac:dyDescent="0.3">
      <c r="A577" s="8"/>
      <c r="B577" s="38">
        <v>45631</v>
      </c>
      <c r="C577" s="9" t="s">
        <v>51</v>
      </c>
      <c r="D577" s="9" t="s">
        <v>20</v>
      </c>
      <c r="E577" s="11" t="s">
        <v>52</v>
      </c>
      <c r="F577" s="10">
        <v>5</v>
      </c>
      <c r="G577" s="10"/>
      <c r="H577" s="10" t="s">
        <v>18</v>
      </c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4.25" customHeight="1" x14ac:dyDescent="0.3">
      <c r="A578" s="8"/>
      <c r="B578" s="38">
        <v>45631</v>
      </c>
      <c r="C578" s="9" t="s">
        <v>53</v>
      </c>
      <c r="D578" s="9" t="s">
        <v>12</v>
      </c>
      <c r="E578" s="11" t="s">
        <v>54</v>
      </c>
      <c r="F578" s="10"/>
      <c r="G578" s="10">
        <v>7</v>
      </c>
      <c r="H578" s="10" t="s">
        <v>10</v>
      </c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4.25" customHeight="1" x14ac:dyDescent="0.3">
      <c r="A579" s="8"/>
      <c r="B579" s="38">
        <v>45633</v>
      </c>
      <c r="C579" s="9" t="s">
        <v>11</v>
      </c>
      <c r="D579" s="9" t="s">
        <v>12</v>
      </c>
      <c r="E579" s="11" t="s">
        <v>13</v>
      </c>
      <c r="F579" s="10"/>
      <c r="G579" s="10">
        <v>24</v>
      </c>
      <c r="H579" s="10" t="s">
        <v>10</v>
      </c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4.25" customHeight="1" x14ac:dyDescent="0.3">
      <c r="A580" s="8"/>
      <c r="B580" s="38">
        <v>45633</v>
      </c>
      <c r="C580" s="9" t="s">
        <v>45</v>
      </c>
      <c r="D580" s="9" t="s">
        <v>12</v>
      </c>
      <c r="E580" s="11" t="s">
        <v>59</v>
      </c>
      <c r="F580" s="10"/>
      <c r="G580" s="10">
        <v>80</v>
      </c>
      <c r="H580" s="10" t="s">
        <v>10</v>
      </c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4.25" customHeight="1" x14ac:dyDescent="0.3">
      <c r="A581" s="8"/>
      <c r="B581" s="38">
        <v>45633</v>
      </c>
      <c r="C581" s="9" t="s">
        <v>39</v>
      </c>
      <c r="D581" s="9" t="s">
        <v>20</v>
      </c>
      <c r="E581" s="11" t="s">
        <v>40</v>
      </c>
      <c r="F581" s="10">
        <v>7.5</v>
      </c>
      <c r="G581" s="10"/>
      <c r="H581" s="10" t="s">
        <v>18</v>
      </c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4.25" customHeight="1" x14ac:dyDescent="0.3">
      <c r="A582" s="8"/>
      <c r="B582" s="38">
        <v>45633</v>
      </c>
      <c r="C582" s="9" t="s">
        <v>41</v>
      </c>
      <c r="D582" s="9" t="s">
        <v>20</v>
      </c>
      <c r="E582" s="11" t="s">
        <v>42</v>
      </c>
      <c r="F582" s="10">
        <v>7.5</v>
      </c>
      <c r="G582" s="10"/>
      <c r="H582" s="10" t="s">
        <v>18</v>
      </c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4.25" customHeight="1" x14ac:dyDescent="0.3">
      <c r="A583" s="8"/>
      <c r="B583" s="38">
        <v>45633</v>
      </c>
      <c r="C583" s="9" t="s">
        <v>73</v>
      </c>
      <c r="D583" s="9" t="s">
        <v>12</v>
      </c>
      <c r="E583" s="11" t="s">
        <v>74</v>
      </c>
      <c r="F583" s="10">
        <v>3</v>
      </c>
      <c r="G583" s="10"/>
      <c r="H583" s="10" t="s">
        <v>18</v>
      </c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4.25" customHeight="1" x14ac:dyDescent="0.3">
      <c r="A584" s="8"/>
      <c r="B584" s="38">
        <v>45633</v>
      </c>
      <c r="C584" s="9" t="s">
        <v>22</v>
      </c>
      <c r="D584" s="9" t="s">
        <v>12</v>
      </c>
      <c r="E584" s="11" t="s">
        <v>23</v>
      </c>
      <c r="F584" s="10">
        <v>15</v>
      </c>
      <c r="G584" s="10"/>
      <c r="H584" s="10" t="s">
        <v>18</v>
      </c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4.25" customHeight="1" x14ac:dyDescent="0.3">
      <c r="A585" s="8"/>
      <c r="B585" s="38">
        <v>45633</v>
      </c>
      <c r="C585" s="9" t="s">
        <v>28</v>
      </c>
      <c r="D585" s="9" t="s">
        <v>8</v>
      </c>
      <c r="E585" s="11" t="s">
        <v>29</v>
      </c>
      <c r="F585" s="10">
        <v>2</v>
      </c>
      <c r="G585" s="10"/>
      <c r="H585" s="10" t="s">
        <v>18</v>
      </c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4.25" customHeight="1" x14ac:dyDescent="0.3">
      <c r="A586" s="8"/>
      <c r="B586" s="38">
        <v>45633</v>
      </c>
      <c r="C586" s="9" t="s">
        <v>7</v>
      </c>
      <c r="D586" s="9" t="s">
        <v>8</v>
      </c>
      <c r="E586" s="11" t="s">
        <v>9</v>
      </c>
      <c r="F586" s="10">
        <v>2</v>
      </c>
      <c r="G586" s="10"/>
      <c r="H586" s="10" t="s">
        <v>18</v>
      </c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4.25" customHeight="1" x14ac:dyDescent="0.3">
      <c r="A587" s="8"/>
      <c r="B587" s="38">
        <v>45633</v>
      </c>
      <c r="C587" s="9" t="s">
        <v>30</v>
      </c>
      <c r="D587" s="9" t="s">
        <v>8</v>
      </c>
      <c r="E587" s="11" t="s">
        <v>31</v>
      </c>
      <c r="F587" s="10">
        <v>1</v>
      </c>
      <c r="G587" s="10"/>
      <c r="H587" s="10" t="s">
        <v>18</v>
      </c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4.25" customHeight="1" x14ac:dyDescent="0.3">
      <c r="A588" s="8"/>
      <c r="B588" s="38">
        <v>45633</v>
      </c>
      <c r="C588" s="9" t="s">
        <v>43</v>
      </c>
      <c r="D588" s="9" t="s">
        <v>20</v>
      </c>
      <c r="E588" s="11" t="s">
        <v>44</v>
      </c>
      <c r="F588" s="10">
        <v>3.5</v>
      </c>
      <c r="G588" s="10"/>
      <c r="H588" s="10" t="s">
        <v>18</v>
      </c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4.25" customHeight="1" x14ac:dyDescent="0.3">
      <c r="A589" s="8"/>
      <c r="B589" s="38">
        <v>45633</v>
      </c>
      <c r="C589" s="14" t="s">
        <v>126</v>
      </c>
      <c r="D589" s="9" t="s">
        <v>12</v>
      </c>
      <c r="E589" s="11" t="s">
        <v>97</v>
      </c>
      <c r="F589" s="10">
        <v>60</v>
      </c>
      <c r="G589" s="10"/>
      <c r="H589" s="10" t="s">
        <v>18</v>
      </c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4.25" customHeight="1" x14ac:dyDescent="0.3">
      <c r="A590" s="8"/>
      <c r="B590" s="38">
        <v>45634</v>
      </c>
      <c r="C590" s="8" t="s">
        <v>93</v>
      </c>
      <c r="D590" s="9" t="s">
        <v>12</v>
      </c>
      <c r="E590" s="18" t="s">
        <v>94</v>
      </c>
      <c r="F590" s="10"/>
      <c r="G590" s="10">
        <v>3</v>
      </c>
      <c r="H590" s="10" t="s">
        <v>10</v>
      </c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4.25" customHeight="1" x14ac:dyDescent="0.3">
      <c r="A591" s="8"/>
      <c r="B591" s="38">
        <v>45634</v>
      </c>
      <c r="C591" s="9" t="s">
        <v>57</v>
      </c>
      <c r="D591" s="9" t="s">
        <v>12</v>
      </c>
      <c r="E591" s="11" t="s">
        <v>58</v>
      </c>
      <c r="F591" s="10">
        <v>240</v>
      </c>
      <c r="G591" s="10"/>
      <c r="H591" s="10" t="s">
        <v>18</v>
      </c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4.25" customHeight="1" x14ac:dyDescent="0.3">
      <c r="A592" s="8"/>
      <c r="B592" s="38">
        <v>45634</v>
      </c>
      <c r="C592" s="42" t="s">
        <v>106</v>
      </c>
      <c r="D592" s="9" t="s">
        <v>12</v>
      </c>
      <c r="E592" s="11" t="s">
        <v>107</v>
      </c>
      <c r="F592" s="10">
        <v>5</v>
      </c>
      <c r="G592" s="10"/>
      <c r="H592" s="10" t="s">
        <v>18</v>
      </c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4.25" customHeight="1" x14ac:dyDescent="0.3">
      <c r="A593" s="8"/>
      <c r="B593" s="38">
        <v>45634</v>
      </c>
      <c r="C593" s="9" t="s">
        <v>28</v>
      </c>
      <c r="D593" s="9" t="s">
        <v>8</v>
      </c>
      <c r="E593" s="11" t="s">
        <v>29</v>
      </c>
      <c r="F593" s="10"/>
      <c r="G593" s="10">
        <v>2</v>
      </c>
      <c r="H593" s="10" t="s">
        <v>10</v>
      </c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4.25" customHeight="1" x14ac:dyDescent="0.3">
      <c r="A594" s="8"/>
      <c r="B594" s="38">
        <v>45634</v>
      </c>
      <c r="C594" s="9" t="s">
        <v>7</v>
      </c>
      <c r="D594" s="9" t="s">
        <v>8</v>
      </c>
      <c r="E594" s="11" t="s">
        <v>9</v>
      </c>
      <c r="F594" s="10"/>
      <c r="G594" s="10">
        <v>2</v>
      </c>
      <c r="H594" s="10" t="s">
        <v>10</v>
      </c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4.25" customHeight="1" x14ac:dyDescent="0.3">
      <c r="A595" s="8"/>
      <c r="B595" s="38">
        <v>45634</v>
      </c>
      <c r="C595" s="9" t="s">
        <v>30</v>
      </c>
      <c r="D595" s="9" t="s">
        <v>8</v>
      </c>
      <c r="E595" s="11" t="s">
        <v>31</v>
      </c>
      <c r="F595" s="10"/>
      <c r="G595" s="10">
        <v>2</v>
      </c>
      <c r="H595" s="10" t="s">
        <v>10</v>
      </c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4.25" customHeight="1" x14ac:dyDescent="0.3">
      <c r="A596" s="8"/>
      <c r="B596" s="38">
        <v>45634</v>
      </c>
      <c r="C596" s="9" t="s">
        <v>75</v>
      </c>
      <c r="D596" s="9" t="s">
        <v>8</v>
      </c>
      <c r="E596" s="11" t="s">
        <v>76</v>
      </c>
      <c r="F596" s="10"/>
      <c r="G596" s="10">
        <v>1</v>
      </c>
      <c r="H596" s="10" t="s">
        <v>10</v>
      </c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4.25" customHeight="1" x14ac:dyDescent="0.3">
      <c r="A597" s="8"/>
      <c r="B597" s="38">
        <v>45635</v>
      </c>
      <c r="C597" s="8" t="s">
        <v>93</v>
      </c>
      <c r="D597" s="9" t="s">
        <v>12</v>
      </c>
      <c r="E597" s="18" t="s">
        <v>94</v>
      </c>
      <c r="F597" s="10"/>
      <c r="G597" s="10">
        <v>4</v>
      </c>
      <c r="H597" s="10" t="s">
        <v>10</v>
      </c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4.25" customHeight="1" x14ac:dyDescent="0.3">
      <c r="A598" s="8"/>
      <c r="B598" s="38">
        <v>45635</v>
      </c>
      <c r="C598" s="14" t="s">
        <v>127</v>
      </c>
      <c r="D598" s="9" t="s">
        <v>12</v>
      </c>
      <c r="E598" s="11" t="s">
        <v>99</v>
      </c>
      <c r="F598" s="10"/>
      <c r="G598" s="10">
        <v>24</v>
      </c>
      <c r="H598" s="10" t="s">
        <v>10</v>
      </c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4.25" customHeight="1" x14ac:dyDescent="0.3">
      <c r="A599" s="8"/>
      <c r="B599" s="38">
        <v>45635</v>
      </c>
      <c r="C599" s="18" t="s">
        <v>108</v>
      </c>
      <c r="D599" s="25" t="s">
        <v>113</v>
      </c>
      <c r="E599" s="11" t="s">
        <v>109</v>
      </c>
      <c r="F599" s="10"/>
      <c r="G599" s="10">
        <v>1</v>
      </c>
      <c r="H599" s="10" t="s">
        <v>10</v>
      </c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4.25" customHeight="1" x14ac:dyDescent="0.3">
      <c r="A600" s="8"/>
      <c r="B600" s="38">
        <v>45635</v>
      </c>
      <c r="C600" s="9" t="s">
        <v>51</v>
      </c>
      <c r="D600" s="9" t="s">
        <v>20</v>
      </c>
      <c r="E600" s="11" t="s">
        <v>52</v>
      </c>
      <c r="F600" s="10"/>
      <c r="G600" s="10">
        <v>1</v>
      </c>
      <c r="H600" s="10" t="s">
        <v>10</v>
      </c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4.25" customHeight="1" x14ac:dyDescent="0.3">
      <c r="A601" s="8"/>
      <c r="B601" s="38">
        <v>45635</v>
      </c>
      <c r="C601" s="9" t="s">
        <v>114</v>
      </c>
      <c r="D601" s="9" t="s">
        <v>12</v>
      </c>
      <c r="E601" s="11" t="s">
        <v>23</v>
      </c>
      <c r="F601" s="10"/>
      <c r="G601" s="10">
        <v>15</v>
      </c>
      <c r="H601" s="10" t="s">
        <v>10</v>
      </c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4.25" customHeight="1" x14ac:dyDescent="0.3">
      <c r="A602" s="8"/>
      <c r="B602" s="38">
        <v>45635</v>
      </c>
      <c r="C602" s="20" t="s">
        <v>189</v>
      </c>
      <c r="D602" s="9" t="s">
        <v>12</v>
      </c>
      <c r="E602" s="11" t="s">
        <v>92</v>
      </c>
      <c r="F602" s="10"/>
      <c r="G602" s="10">
        <f>115-74</f>
        <v>41</v>
      </c>
      <c r="H602" s="10" t="s">
        <v>10</v>
      </c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4.25" customHeight="1" x14ac:dyDescent="0.3">
      <c r="A603" s="8"/>
      <c r="B603" s="38">
        <v>45635</v>
      </c>
      <c r="C603" s="9" t="s">
        <v>43</v>
      </c>
      <c r="D603" s="9" t="s">
        <v>20</v>
      </c>
      <c r="E603" s="11" t="s">
        <v>44</v>
      </c>
      <c r="F603" s="10"/>
      <c r="G603" s="10">
        <v>3.1</v>
      </c>
      <c r="H603" s="10" t="s">
        <v>10</v>
      </c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4.25" customHeight="1" x14ac:dyDescent="0.3">
      <c r="A604" s="8"/>
      <c r="B604" s="38">
        <v>45635</v>
      </c>
      <c r="C604" s="9" t="s">
        <v>73</v>
      </c>
      <c r="D604" s="9" t="s">
        <v>12</v>
      </c>
      <c r="E604" s="11" t="s">
        <v>74</v>
      </c>
      <c r="F604" s="10"/>
      <c r="G604" s="10">
        <v>1</v>
      </c>
      <c r="H604" s="10" t="s">
        <v>10</v>
      </c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4.25" customHeight="1" x14ac:dyDescent="0.3">
      <c r="A605" s="8"/>
      <c r="B605" s="38">
        <v>45635</v>
      </c>
      <c r="C605" s="9" t="s">
        <v>41</v>
      </c>
      <c r="D605" s="9" t="s">
        <v>20</v>
      </c>
      <c r="E605" s="11" t="s">
        <v>42</v>
      </c>
      <c r="F605" s="10"/>
      <c r="G605" s="10">
        <f>11.2-2</f>
        <v>9.1999999999999993</v>
      </c>
      <c r="H605" s="10" t="s">
        <v>10</v>
      </c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4.25" customHeight="1" x14ac:dyDescent="0.3">
      <c r="A606" s="8"/>
      <c r="B606" s="38">
        <v>45635</v>
      </c>
      <c r="C606" s="9" t="s">
        <v>51</v>
      </c>
      <c r="D606" s="9" t="s">
        <v>20</v>
      </c>
      <c r="E606" s="11" t="s">
        <v>52</v>
      </c>
      <c r="F606" s="10"/>
      <c r="G606" s="10">
        <v>2</v>
      </c>
      <c r="H606" s="10" t="s">
        <v>10</v>
      </c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4.25" customHeight="1" x14ac:dyDescent="0.3">
      <c r="A607" s="8"/>
      <c r="B607" s="38">
        <v>45635</v>
      </c>
      <c r="C607" s="9" t="s">
        <v>121</v>
      </c>
      <c r="D607" s="9" t="s">
        <v>20</v>
      </c>
      <c r="E607" s="11" t="s">
        <v>21</v>
      </c>
      <c r="F607" s="10"/>
      <c r="G607" s="10">
        <v>10</v>
      </c>
      <c r="H607" s="10" t="s">
        <v>10</v>
      </c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4.25" customHeight="1" x14ac:dyDescent="0.3">
      <c r="A608" s="8"/>
      <c r="B608" s="38">
        <v>45635</v>
      </c>
      <c r="C608" s="9" t="s">
        <v>70</v>
      </c>
      <c r="D608" s="9" t="s">
        <v>12</v>
      </c>
      <c r="E608" s="11" t="s">
        <v>72</v>
      </c>
      <c r="F608" s="10"/>
      <c r="G608" s="10">
        <v>1</v>
      </c>
      <c r="H608" s="10" t="s">
        <v>10</v>
      </c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4.25" customHeight="1" x14ac:dyDescent="0.3">
      <c r="A609" s="8"/>
      <c r="B609" s="38">
        <v>45635</v>
      </c>
      <c r="C609" s="9" t="s">
        <v>55</v>
      </c>
      <c r="D609" s="9" t="s">
        <v>12</v>
      </c>
      <c r="E609" s="11" t="s">
        <v>56</v>
      </c>
      <c r="F609" s="10"/>
      <c r="G609" s="10">
        <v>30</v>
      </c>
      <c r="H609" s="10" t="s">
        <v>10</v>
      </c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4.25" customHeight="1" x14ac:dyDescent="0.3">
      <c r="A610" s="8"/>
      <c r="B610" s="38">
        <v>45635</v>
      </c>
      <c r="C610" s="18" t="s">
        <v>115</v>
      </c>
      <c r="D610" s="9" t="s">
        <v>12</v>
      </c>
      <c r="E610" s="11" t="s">
        <v>116</v>
      </c>
      <c r="F610" s="10"/>
      <c r="G610" s="10">
        <v>1</v>
      </c>
      <c r="H610" s="10" t="s">
        <v>10</v>
      </c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4.25" customHeight="1" x14ac:dyDescent="0.3">
      <c r="A611" s="8"/>
      <c r="B611" s="38">
        <v>45635</v>
      </c>
      <c r="C611" s="18" t="s">
        <v>122</v>
      </c>
      <c r="D611" s="9" t="s">
        <v>12</v>
      </c>
      <c r="E611" s="11" t="s">
        <v>123</v>
      </c>
      <c r="F611" s="10"/>
      <c r="G611" s="10">
        <v>1</v>
      </c>
      <c r="H611" s="10" t="s">
        <v>10</v>
      </c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4.25" customHeight="1" x14ac:dyDescent="0.3">
      <c r="A612" s="8"/>
      <c r="B612" s="38">
        <v>45635</v>
      </c>
      <c r="C612" s="9" t="s">
        <v>30</v>
      </c>
      <c r="D612" s="9" t="s">
        <v>8</v>
      </c>
      <c r="E612" s="11" t="s">
        <v>31</v>
      </c>
      <c r="F612" s="10">
        <v>1</v>
      </c>
      <c r="G612" s="10"/>
      <c r="H612" s="10" t="s">
        <v>18</v>
      </c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4.25" customHeight="1" x14ac:dyDescent="0.3">
      <c r="A613" s="8"/>
      <c r="B613" s="38">
        <v>45635</v>
      </c>
      <c r="C613" s="43" t="s">
        <v>70</v>
      </c>
      <c r="D613" s="40" t="s">
        <v>12</v>
      </c>
      <c r="E613" s="41" t="s">
        <v>72</v>
      </c>
      <c r="F613" s="10">
        <v>2</v>
      </c>
      <c r="G613" s="10"/>
      <c r="H613" s="10" t="s">
        <v>18</v>
      </c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4.25" customHeight="1" x14ac:dyDescent="0.3">
      <c r="A614" s="8"/>
      <c r="B614" s="38">
        <v>45636</v>
      </c>
      <c r="C614" s="8" t="s">
        <v>93</v>
      </c>
      <c r="D614" s="9" t="s">
        <v>12</v>
      </c>
      <c r="E614" s="18" t="s">
        <v>94</v>
      </c>
      <c r="F614" s="10">
        <v>60</v>
      </c>
      <c r="G614" s="10"/>
      <c r="H614" s="10" t="s">
        <v>18</v>
      </c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4.25" customHeight="1" x14ac:dyDescent="0.3">
      <c r="A615" s="8"/>
      <c r="B615" s="38">
        <v>45636</v>
      </c>
      <c r="C615" s="9" t="s">
        <v>7</v>
      </c>
      <c r="D615" s="9" t="s">
        <v>8</v>
      </c>
      <c r="E615" s="11" t="s">
        <v>9</v>
      </c>
      <c r="F615" s="10"/>
      <c r="G615" s="10">
        <v>1</v>
      </c>
      <c r="H615" s="10" t="s">
        <v>10</v>
      </c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4.25" customHeight="1" x14ac:dyDescent="0.3">
      <c r="A616" s="8"/>
      <c r="B616" s="38">
        <v>45637</v>
      </c>
      <c r="C616" s="9" t="s">
        <v>43</v>
      </c>
      <c r="D616" s="9" t="s">
        <v>20</v>
      </c>
      <c r="E616" s="11" t="s">
        <v>44</v>
      </c>
      <c r="F616" s="10">
        <v>12</v>
      </c>
      <c r="G616" s="10"/>
      <c r="H616" s="10" t="s">
        <v>18</v>
      </c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4.25" customHeight="1" x14ac:dyDescent="0.3">
      <c r="A617" s="8"/>
      <c r="B617" s="38">
        <v>45637</v>
      </c>
      <c r="C617" s="9" t="s">
        <v>30</v>
      </c>
      <c r="D617" s="9" t="s">
        <v>8</v>
      </c>
      <c r="E617" s="11" t="s">
        <v>31</v>
      </c>
      <c r="F617" s="10">
        <v>1</v>
      </c>
      <c r="G617" s="10"/>
      <c r="H617" s="10" t="s">
        <v>18</v>
      </c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4.25" customHeight="1" x14ac:dyDescent="0.3">
      <c r="A618" s="8"/>
      <c r="B618" s="38">
        <v>45637</v>
      </c>
      <c r="C618" s="9" t="s">
        <v>7</v>
      </c>
      <c r="D618" s="9" t="s">
        <v>8</v>
      </c>
      <c r="E618" s="11" t="s">
        <v>9</v>
      </c>
      <c r="F618" s="10">
        <v>1</v>
      </c>
      <c r="G618" s="10"/>
      <c r="H618" s="10" t="s">
        <v>18</v>
      </c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4.25" customHeight="1" x14ac:dyDescent="0.3">
      <c r="A619" s="8"/>
      <c r="B619" s="38">
        <v>45637</v>
      </c>
      <c r="C619" s="9" t="s">
        <v>75</v>
      </c>
      <c r="D619" s="9" t="s">
        <v>8</v>
      </c>
      <c r="E619" s="11" t="s">
        <v>76</v>
      </c>
      <c r="F619" s="10">
        <v>1</v>
      </c>
      <c r="G619" s="10"/>
      <c r="H619" s="10" t="s">
        <v>18</v>
      </c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4.25" customHeight="1" x14ac:dyDescent="0.3">
      <c r="A620" s="8"/>
      <c r="B620" s="38">
        <v>45637</v>
      </c>
      <c r="C620" s="9" t="s">
        <v>41</v>
      </c>
      <c r="D620" s="9" t="s">
        <v>20</v>
      </c>
      <c r="E620" s="11" t="s">
        <v>42</v>
      </c>
      <c r="F620" s="10">
        <v>10</v>
      </c>
      <c r="G620" s="10"/>
      <c r="H620" s="10" t="s">
        <v>18</v>
      </c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4.25" customHeight="1" x14ac:dyDescent="0.3">
      <c r="A621" s="8"/>
      <c r="B621" s="47">
        <v>45637</v>
      </c>
      <c r="C621" s="9" t="s">
        <v>53</v>
      </c>
      <c r="D621" s="9" t="s">
        <v>12</v>
      </c>
      <c r="E621" s="11" t="s">
        <v>54</v>
      </c>
      <c r="F621" s="36">
        <v>16</v>
      </c>
      <c r="G621" s="36"/>
      <c r="H621" s="36" t="s">
        <v>18</v>
      </c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4.25" customHeight="1" x14ac:dyDescent="0.3">
      <c r="A622" s="8"/>
      <c r="B622" s="38">
        <v>45638</v>
      </c>
      <c r="C622" s="9" t="s">
        <v>30</v>
      </c>
      <c r="D622" s="9" t="s">
        <v>8</v>
      </c>
      <c r="E622" s="11" t="s">
        <v>31</v>
      </c>
      <c r="F622" s="10"/>
      <c r="G622" s="10">
        <v>1</v>
      </c>
      <c r="H622" s="10" t="s">
        <v>10</v>
      </c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4.25" customHeight="1" x14ac:dyDescent="0.3">
      <c r="A623" s="8"/>
      <c r="B623" s="38">
        <v>45638</v>
      </c>
      <c r="C623" s="9" t="s">
        <v>28</v>
      </c>
      <c r="D623" s="9" t="s">
        <v>8</v>
      </c>
      <c r="E623" s="11" t="s">
        <v>29</v>
      </c>
      <c r="F623" s="10"/>
      <c r="G623" s="10">
        <v>1</v>
      </c>
      <c r="H623" s="10" t="s">
        <v>10</v>
      </c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4.25" customHeight="1" x14ac:dyDescent="0.3">
      <c r="A624" s="8"/>
      <c r="B624" s="38">
        <v>45638</v>
      </c>
      <c r="C624" s="20" t="s">
        <v>189</v>
      </c>
      <c r="D624" s="9" t="s">
        <v>12</v>
      </c>
      <c r="E624" s="11" t="s">
        <v>92</v>
      </c>
      <c r="F624" s="10"/>
      <c r="G624" s="10">
        <v>40</v>
      </c>
      <c r="H624" s="10" t="s">
        <v>10</v>
      </c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4.25" customHeight="1" x14ac:dyDescent="0.3">
      <c r="A625" s="8"/>
      <c r="B625" s="38">
        <v>45638</v>
      </c>
      <c r="C625" s="9" t="s">
        <v>43</v>
      </c>
      <c r="D625" s="9" t="s">
        <v>20</v>
      </c>
      <c r="E625" s="11" t="s">
        <v>44</v>
      </c>
      <c r="F625" s="10"/>
      <c r="G625" s="10">
        <f>15.6-13.8</f>
        <v>1.7999999999999989</v>
      </c>
      <c r="H625" s="10" t="s">
        <v>10</v>
      </c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4.25" customHeight="1" x14ac:dyDescent="0.3">
      <c r="A626" s="8"/>
      <c r="B626" s="38">
        <v>45638</v>
      </c>
      <c r="C626" s="9" t="s">
        <v>41</v>
      </c>
      <c r="D626" s="9" t="s">
        <v>20</v>
      </c>
      <c r="E626" s="11" t="s">
        <v>42</v>
      </c>
      <c r="F626" s="10"/>
      <c r="G626" s="10">
        <v>6</v>
      </c>
      <c r="H626" s="10" t="s">
        <v>10</v>
      </c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4.25" customHeight="1" x14ac:dyDescent="0.3">
      <c r="A627" s="8"/>
      <c r="B627" s="38">
        <v>45641</v>
      </c>
      <c r="C627" s="9" t="s">
        <v>45</v>
      </c>
      <c r="D627" s="9" t="s">
        <v>12</v>
      </c>
      <c r="E627" s="11" t="s">
        <v>59</v>
      </c>
      <c r="F627" s="10"/>
      <c r="G627" s="10">
        <v>80</v>
      </c>
      <c r="H627" s="10" t="s">
        <v>10</v>
      </c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4.25" customHeight="1" x14ac:dyDescent="0.3">
      <c r="A628" s="8"/>
      <c r="B628" s="38">
        <v>45641</v>
      </c>
      <c r="C628" s="42" t="s">
        <v>106</v>
      </c>
      <c r="D628" s="25" t="s">
        <v>33</v>
      </c>
      <c r="E628" s="11" t="s">
        <v>107</v>
      </c>
      <c r="F628" s="10"/>
      <c r="G628" s="10">
        <v>1</v>
      </c>
      <c r="H628" s="10" t="s">
        <v>10</v>
      </c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4.25" customHeight="1" x14ac:dyDescent="0.3">
      <c r="A629" s="8"/>
      <c r="B629" s="38">
        <v>45641</v>
      </c>
      <c r="C629" s="42" t="s">
        <v>106</v>
      </c>
      <c r="D629" s="25" t="s">
        <v>33</v>
      </c>
      <c r="E629" s="11" t="s">
        <v>107</v>
      </c>
      <c r="F629" s="10"/>
      <c r="G629" s="10">
        <v>1</v>
      </c>
      <c r="H629" s="10" t="s">
        <v>10</v>
      </c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4.25" customHeight="1" x14ac:dyDescent="0.3">
      <c r="A630" s="8"/>
      <c r="B630" s="38">
        <v>45641</v>
      </c>
      <c r="C630" s="9" t="s">
        <v>11</v>
      </c>
      <c r="D630" s="9" t="s">
        <v>12</v>
      </c>
      <c r="E630" s="11" t="s">
        <v>13</v>
      </c>
      <c r="F630" s="10"/>
      <c r="G630" s="10">
        <v>40</v>
      </c>
      <c r="H630" s="10" t="s">
        <v>10</v>
      </c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4.25" customHeight="1" x14ac:dyDescent="0.3">
      <c r="A631" s="8"/>
      <c r="B631" s="38">
        <v>45641</v>
      </c>
      <c r="C631" s="9" t="s">
        <v>28</v>
      </c>
      <c r="D631" s="9" t="s">
        <v>8</v>
      </c>
      <c r="E631" s="11" t="s">
        <v>29</v>
      </c>
      <c r="F631" s="10">
        <v>3</v>
      </c>
      <c r="G631" s="10"/>
      <c r="H631" s="10" t="s">
        <v>18</v>
      </c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4.25" customHeight="1" x14ac:dyDescent="0.3">
      <c r="A632" s="8"/>
      <c r="B632" s="38">
        <v>45641</v>
      </c>
      <c r="C632" s="9" t="s">
        <v>7</v>
      </c>
      <c r="D632" s="9" t="s">
        <v>8</v>
      </c>
      <c r="E632" s="11" t="s">
        <v>9</v>
      </c>
      <c r="F632" s="10">
        <v>1</v>
      </c>
      <c r="G632" s="10"/>
      <c r="H632" s="10" t="s">
        <v>18</v>
      </c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4.25" customHeight="1" x14ac:dyDescent="0.3">
      <c r="A633" s="8"/>
      <c r="B633" s="38">
        <v>45641</v>
      </c>
      <c r="C633" s="9" t="s">
        <v>77</v>
      </c>
      <c r="D633" s="9" t="s">
        <v>20</v>
      </c>
      <c r="E633" s="11" t="s">
        <v>78</v>
      </c>
      <c r="F633" s="10">
        <v>0.86</v>
      </c>
      <c r="G633" s="10"/>
      <c r="H633" s="10" t="s">
        <v>18</v>
      </c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4.25" customHeight="1" x14ac:dyDescent="0.3">
      <c r="A634" s="8"/>
      <c r="B634" s="38">
        <v>45641</v>
      </c>
      <c r="C634" s="9" t="s">
        <v>41</v>
      </c>
      <c r="D634" s="9" t="s">
        <v>20</v>
      </c>
      <c r="E634" s="11" t="s">
        <v>42</v>
      </c>
      <c r="F634" s="10">
        <v>8.5</v>
      </c>
      <c r="G634" s="10"/>
      <c r="H634" s="10" t="s">
        <v>18</v>
      </c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4.25" customHeight="1" x14ac:dyDescent="0.3">
      <c r="A635" s="8"/>
      <c r="B635" s="38">
        <v>45641</v>
      </c>
      <c r="C635" s="9" t="s">
        <v>39</v>
      </c>
      <c r="D635" s="9" t="s">
        <v>20</v>
      </c>
      <c r="E635" s="11" t="s">
        <v>40</v>
      </c>
      <c r="F635" s="10">
        <v>8.5</v>
      </c>
      <c r="G635" s="10"/>
      <c r="H635" s="10" t="s">
        <v>18</v>
      </c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4.25" customHeight="1" x14ac:dyDescent="0.3">
      <c r="A636" s="8"/>
      <c r="B636" s="38">
        <v>45641</v>
      </c>
      <c r="C636" s="9" t="s">
        <v>28</v>
      </c>
      <c r="D636" s="9" t="s">
        <v>8</v>
      </c>
      <c r="E636" s="11" t="s">
        <v>29</v>
      </c>
      <c r="F636" s="10"/>
      <c r="G636" s="10">
        <v>2</v>
      </c>
      <c r="H636" s="10" t="s">
        <v>10</v>
      </c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4.25" customHeight="1" x14ac:dyDescent="0.3">
      <c r="A637" s="8"/>
      <c r="B637" s="38">
        <v>45642</v>
      </c>
      <c r="C637" s="9" t="s">
        <v>7</v>
      </c>
      <c r="D637" s="9" t="s">
        <v>8</v>
      </c>
      <c r="E637" s="11" t="s">
        <v>9</v>
      </c>
      <c r="F637" s="10"/>
      <c r="G637" s="10">
        <v>1</v>
      </c>
      <c r="H637" s="10" t="s">
        <v>10</v>
      </c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4.25" customHeight="1" x14ac:dyDescent="0.3">
      <c r="A638" s="8"/>
      <c r="B638" s="38">
        <v>45642</v>
      </c>
      <c r="C638" s="26" t="s">
        <v>101</v>
      </c>
      <c r="D638" s="9" t="s">
        <v>8</v>
      </c>
      <c r="E638" s="11" t="s">
        <v>102</v>
      </c>
      <c r="F638" s="10">
        <v>1</v>
      </c>
      <c r="G638" s="10"/>
      <c r="H638" s="10" t="s">
        <v>18</v>
      </c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4.25" customHeight="1" x14ac:dyDescent="0.3">
      <c r="A639" s="8"/>
      <c r="B639" s="38">
        <v>45642</v>
      </c>
      <c r="C639" s="9" t="s">
        <v>75</v>
      </c>
      <c r="D639" s="9" t="s">
        <v>8</v>
      </c>
      <c r="E639" s="11" t="s">
        <v>76</v>
      </c>
      <c r="F639" s="10"/>
      <c r="G639" s="10">
        <v>1</v>
      </c>
      <c r="H639" s="10" t="s">
        <v>10</v>
      </c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4.25" customHeight="1" x14ac:dyDescent="0.3">
      <c r="A640" s="8"/>
      <c r="B640" s="38">
        <v>45642</v>
      </c>
      <c r="C640" s="20" t="s">
        <v>189</v>
      </c>
      <c r="D640" s="9" t="s">
        <v>12</v>
      </c>
      <c r="E640" s="11" t="s">
        <v>92</v>
      </c>
      <c r="F640" s="10"/>
      <c r="G640" s="10">
        <v>34</v>
      </c>
      <c r="H640" s="10" t="s">
        <v>10</v>
      </c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4.25" customHeight="1" x14ac:dyDescent="0.3">
      <c r="A641" s="8"/>
      <c r="B641" s="38">
        <v>45642</v>
      </c>
      <c r="C641" s="9" t="s">
        <v>43</v>
      </c>
      <c r="D641" s="9" t="s">
        <v>20</v>
      </c>
      <c r="E641" s="11" t="s">
        <v>44</v>
      </c>
      <c r="F641" s="10"/>
      <c r="G641" s="10">
        <f>13.8-8</f>
        <v>5.8000000000000007</v>
      </c>
      <c r="H641" s="10" t="s">
        <v>10</v>
      </c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4.25" customHeight="1" x14ac:dyDescent="0.3">
      <c r="A642" s="8"/>
      <c r="B642" s="38">
        <v>45642</v>
      </c>
      <c r="C642" s="9" t="s">
        <v>77</v>
      </c>
      <c r="D642" s="9" t="s">
        <v>20</v>
      </c>
      <c r="E642" s="11" t="s">
        <v>78</v>
      </c>
      <c r="F642" s="10"/>
      <c r="G642" s="10">
        <v>1</v>
      </c>
      <c r="H642" s="10" t="s">
        <v>10</v>
      </c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4.25" customHeight="1" x14ac:dyDescent="0.3">
      <c r="A643" s="8"/>
      <c r="B643" s="38">
        <v>45642</v>
      </c>
      <c r="C643" s="9" t="s">
        <v>51</v>
      </c>
      <c r="D643" s="9" t="s">
        <v>20</v>
      </c>
      <c r="E643" s="11" t="s">
        <v>52</v>
      </c>
      <c r="F643" s="10"/>
      <c r="G643" s="10">
        <v>4</v>
      </c>
      <c r="H643" s="10" t="s">
        <v>10</v>
      </c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4.25" customHeight="1" x14ac:dyDescent="0.3">
      <c r="A644" s="8"/>
      <c r="B644" s="38">
        <v>45642</v>
      </c>
      <c r="C644" s="9" t="s">
        <v>73</v>
      </c>
      <c r="D644" s="9" t="s">
        <v>71</v>
      </c>
      <c r="E644" s="11" t="s">
        <v>74</v>
      </c>
      <c r="F644" s="10"/>
      <c r="G644" s="10">
        <v>1</v>
      </c>
      <c r="H644" s="10" t="s">
        <v>10</v>
      </c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4.25" customHeight="1" x14ac:dyDescent="0.3">
      <c r="A645" s="8"/>
      <c r="B645" s="38">
        <v>45642</v>
      </c>
      <c r="C645" s="9" t="s">
        <v>41</v>
      </c>
      <c r="D645" s="9" t="s">
        <v>20</v>
      </c>
      <c r="E645" s="11" t="s">
        <v>42</v>
      </c>
      <c r="F645" s="10"/>
      <c r="G645" s="10">
        <f>14.5-5.4</f>
        <v>9.1</v>
      </c>
      <c r="H645" s="10" t="s">
        <v>10</v>
      </c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4.25" customHeight="1" x14ac:dyDescent="0.3">
      <c r="A646" s="8"/>
      <c r="B646" s="38">
        <v>45642</v>
      </c>
      <c r="C646" s="9" t="s">
        <v>39</v>
      </c>
      <c r="D646" s="9" t="s">
        <v>20</v>
      </c>
      <c r="E646" s="11" t="s">
        <v>40</v>
      </c>
      <c r="F646" s="10"/>
      <c r="G646" s="10">
        <f>21.8-4</f>
        <v>17.8</v>
      </c>
      <c r="H646" s="10" t="s">
        <v>10</v>
      </c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4.25" customHeight="1" x14ac:dyDescent="0.3">
      <c r="A647" s="8"/>
      <c r="B647" s="38">
        <v>45642</v>
      </c>
      <c r="C647" s="9" t="s">
        <v>95</v>
      </c>
      <c r="D647" s="9" t="s">
        <v>12</v>
      </c>
      <c r="E647" s="11" t="s">
        <v>96</v>
      </c>
      <c r="F647" s="10"/>
      <c r="G647" s="10">
        <v>30</v>
      </c>
      <c r="H647" s="10" t="s">
        <v>10</v>
      </c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4.25" customHeight="1" x14ac:dyDescent="0.3">
      <c r="A648" s="8"/>
      <c r="B648" s="38">
        <v>45642</v>
      </c>
      <c r="C648" s="9" t="s">
        <v>53</v>
      </c>
      <c r="D648" s="9" t="s">
        <v>12</v>
      </c>
      <c r="E648" s="11" t="s">
        <v>54</v>
      </c>
      <c r="F648" s="10"/>
      <c r="G648" s="10">
        <v>16</v>
      </c>
      <c r="H648" s="10" t="s">
        <v>10</v>
      </c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4.25" customHeight="1" x14ac:dyDescent="0.3">
      <c r="A649" s="8"/>
      <c r="B649" s="38">
        <v>45642</v>
      </c>
      <c r="C649" s="9" t="s">
        <v>68</v>
      </c>
      <c r="D649" s="9" t="s">
        <v>12</v>
      </c>
      <c r="E649" s="11" t="s">
        <v>69</v>
      </c>
      <c r="F649" s="10"/>
      <c r="G649" s="10">
        <v>4</v>
      </c>
      <c r="H649" s="10" t="s">
        <v>10</v>
      </c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4.25" customHeight="1" x14ac:dyDescent="0.3">
      <c r="A650" s="8"/>
      <c r="B650" s="38">
        <v>45642</v>
      </c>
      <c r="C650" s="8" t="s">
        <v>93</v>
      </c>
      <c r="D650" s="9" t="s">
        <v>12</v>
      </c>
      <c r="E650" s="18" t="s">
        <v>94</v>
      </c>
      <c r="F650" s="10"/>
      <c r="G650" s="10">
        <v>10</v>
      </c>
      <c r="H650" s="10" t="s">
        <v>10</v>
      </c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4.25" customHeight="1" x14ac:dyDescent="0.3">
      <c r="A651" s="8"/>
      <c r="B651" s="38">
        <v>45642</v>
      </c>
      <c r="C651" s="14" t="s">
        <v>126</v>
      </c>
      <c r="D651" s="9" t="s">
        <v>12</v>
      </c>
      <c r="E651" s="11" t="s">
        <v>97</v>
      </c>
      <c r="F651" s="10"/>
      <c r="G651" s="10">
        <f>60-42</f>
        <v>18</v>
      </c>
      <c r="H651" s="10" t="s">
        <v>10</v>
      </c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4.25" customHeight="1" x14ac:dyDescent="0.3">
      <c r="A652" s="8"/>
      <c r="B652" s="47">
        <v>45643</v>
      </c>
      <c r="C652" s="43" t="s">
        <v>28</v>
      </c>
      <c r="D652" s="40" t="s">
        <v>8</v>
      </c>
      <c r="E652" s="41" t="s">
        <v>29</v>
      </c>
      <c r="F652" s="36">
        <v>3</v>
      </c>
      <c r="G652" s="36"/>
      <c r="H652" s="36" t="s">
        <v>18</v>
      </c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4.25" customHeight="1" x14ac:dyDescent="0.3">
      <c r="A653" s="8"/>
      <c r="B653" s="47">
        <v>45643</v>
      </c>
      <c r="C653" s="44" t="s">
        <v>7</v>
      </c>
      <c r="D653" s="45" t="s">
        <v>8</v>
      </c>
      <c r="E653" s="46" t="s">
        <v>9</v>
      </c>
      <c r="F653" s="36">
        <v>1</v>
      </c>
      <c r="G653" s="36"/>
      <c r="H653" s="36" t="s">
        <v>18</v>
      </c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4.25" customHeight="1" x14ac:dyDescent="0.3">
      <c r="A654" s="8"/>
      <c r="B654" s="47">
        <v>45643</v>
      </c>
      <c r="C654" s="48" t="s">
        <v>75</v>
      </c>
      <c r="D654" s="34" t="s">
        <v>8</v>
      </c>
      <c r="E654" s="35" t="s">
        <v>76</v>
      </c>
      <c r="F654" s="36">
        <v>1</v>
      </c>
      <c r="G654" s="36"/>
      <c r="H654" s="36" t="s">
        <v>18</v>
      </c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4.25" customHeight="1" x14ac:dyDescent="0.3">
      <c r="A655" s="8"/>
      <c r="B655" s="47">
        <v>45643</v>
      </c>
      <c r="C655" s="9" t="s">
        <v>55</v>
      </c>
      <c r="D655" s="9" t="s">
        <v>12</v>
      </c>
      <c r="E655" s="11" t="s">
        <v>56</v>
      </c>
      <c r="F655" s="10"/>
      <c r="G655" s="10">
        <v>60</v>
      </c>
      <c r="H655" s="10" t="s">
        <v>10</v>
      </c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4.25" customHeight="1" x14ac:dyDescent="0.3">
      <c r="A656" s="8"/>
      <c r="B656" s="47">
        <v>45643</v>
      </c>
      <c r="C656" s="44" t="s">
        <v>7</v>
      </c>
      <c r="D656" s="45" t="s">
        <v>8</v>
      </c>
      <c r="E656" s="46" t="s">
        <v>9</v>
      </c>
      <c r="F656" s="10"/>
      <c r="G656" s="10">
        <v>1</v>
      </c>
      <c r="H656" s="10" t="s">
        <v>10</v>
      </c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4.25" customHeight="1" x14ac:dyDescent="0.3">
      <c r="A657" s="8"/>
      <c r="B657" s="47">
        <v>45643</v>
      </c>
      <c r="C657" s="43" t="s">
        <v>28</v>
      </c>
      <c r="D657" s="40" t="s">
        <v>8</v>
      </c>
      <c r="E657" s="41" t="s">
        <v>29</v>
      </c>
      <c r="F657" s="49"/>
      <c r="G657" s="49">
        <v>1</v>
      </c>
      <c r="H657" s="49" t="s">
        <v>10</v>
      </c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4.25" customHeight="1" x14ac:dyDescent="0.3">
      <c r="A658" s="8"/>
      <c r="B658" s="47">
        <v>45643</v>
      </c>
      <c r="C658" s="48" t="s">
        <v>75</v>
      </c>
      <c r="D658" s="34" t="s">
        <v>8</v>
      </c>
      <c r="E658" s="35" t="s">
        <v>76</v>
      </c>
      <c r="F658" s="10"/>
      <c r="G658" s="10">
        <v>1</v>
      </c>
      <c r="H658" s="10" t="s">
        <v>10</v>
      </c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4.25" customHeight="1" x14ac:dyDescent="0.3">
      <c r="A659" s="8"/>
      <c r="B659" s="47">
        <v>45643</v>
      </c>
      <c r="C659" s="9" t="s">
        <v>30</v>
      </c>
      <c r="D659" s="9" t="s">
        <v>8</v>
      </c>
      <c r="E659" s="11" t="s">
        <v>31</v>
      </c>
      <c r="F659" s="10"/>
      <c r="G659" s="10">
        <v>1</v>
      </c>
      <c r="H659" s="10" t="s">
        <v>10</v>
      </c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4.25" customHeight="1" x14ac:dyDescent="0.3">
      <c r="A660" s="8"/>
      <c r="B660" s="47">
        <v>45644</v>
      </c>
      <c r="C660" s="9" t="s">
        <v>51</v>
      </c>
      <c r="D660" s="9" t="s">
        <v>20</v>
      </c>
      <c r="E660" s="11" t="s">
        <v>52</v>
      </c>
      <c r="F660" s="10">
        <v>2</v>
      </c>
      <c r="G660" s="10"/>
      <c r="H660" s="10" t="s">
        <v>18</v>
      </c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4.25" customHeight="1" x14ac:dyDescent="0.3">
      <c r="A661" s="8"/>
      <c r="B661" s="47">
        <v>45644</v>
      </c>
      <c r="C661" s="31" t="s">
        <v>61</v>
      </c>
      <c r="D661" s="9" t="s">
        <v>20</v>
      </c>
      <c r="E661" s="11" t="s">
        <v>62</v>
      </c>
      <c r="F661" s="10">
        <v>5</v>
      </c>
      <c r="G661" s="10"/>
      <c r="H661" s="10" t="s">
        <v>18</v>
      </c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4.25" customHeight="1" x14ac:dyDescent="0.3">
      <c r="A662" s="8"/>
      <c r="B662" s="47">
        <v>45644</v>
      </c>
      <c r="C662" s="43" t="s">
        <v>68</v>
      </c>
      <c r="D662" s="40" t="s">
        <v>12</v>
      </c>
      <c r="E662" s="41" t="s">
        <v>69</v>
      </c>
      <c r="F662" s="10">
        <v>8</v>
      </c>
      <c r="G662" s="10"/>
      <c r="H662" s="10" t="s">
        <v>18</v>
      </c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4.25" customHeight="1" x14ac:dyDescent="0.3">
      <c r="A663" s="8"/>
      <c r="B663" s="47">
        <v>45644</v>
      </c>
      <c r="C663" s="9" t="s">
        <v>73</v>
      </c>
      <c r="D663" s="9" t="s">
        <v>20</v>
      </c>
      <c r="E663" s="11" t="s">
        <v>74</v>
      </c>
      <c r="F663" s="10">
        <v>6</v>
      </c>
      <c r="G663" s="10"/>
      <c r="H663" s="10" t="s">
        <v>18</v>
      </c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4.25" customHeight="1" x14ac:dyDescent="0.3">
      <c r="A664" s="8"/>
      <c r="B664" s="47">
        <v>45644</v>
      </c>
      <c r="C664" s="9" t="s">
        <v>30</v>
      </c>
      <c r="D664" s="9" t="s">
        <v>8</v>
      </c>
      <c r="E664" s="11" t="s">
        <v>31</v>
      </c>
      <c r="F664" s="10">
        <v>1</v>
      </c>
      <c r="G664" s="10"/>
      <c r="H664" s="10" t="s">
        <v>18</v>
      </c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4.25" customHeight="1" x14ac:dyDescent="0.3">
      <c r="A665" s="8"/>
      <c r="B665" s="47">
        <v>45644</v>
      </c>
      <c r="C665" s="9" t="s">
        <v>45</v>
      </c>
      <c r="D665" s="9" t="s">
        <v>12</v>
      </c>
      <c r="E665" s="11" t="s">
        <v>59</v>
      </c>
      <c r="F665" s="10"/>
      <c r="G665" s="10">
        <v>80</v>
      </c>
      <c r="H665" s="10" t="s">
        <v>10</v>
      </c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4.25" customHeight="1" x14ac:dyDescent="0.3">
      <c r="A666" s="8"/>
      <c r="B666" s="47">
        <v>45644</v>
      </c>
      <c r="C666" s="43" t="s">
        <v>28</v>
      </c>
      <c r="D666" s="40" t="s">
        <v>8</v>
      </c>
      <c r="E666" s="41" t="s">
        <v>29</v>
      </c>
      <c r="F666" s="10"/>
      <c r="G666" s="10">
        <v>1</v>
      </c>
      <c r="H666" s="10" t="s">
        <v>10</v>
      </c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4.25" customHeight="1" x14ac:dyDescent="0.3">
      <c r="A667" s="8"/>
      <c r="B667" s="47">
        <v>45644</v>
      </c>
      <c r="C667" s="44" t="s">
        <v>7</v>
      </c>
      <c r="D667" s="45" t="s">
        <v>8</v>
      </c>
      <c r="E667" s="46" t="s">
        <v>9</v>
      </c>
      <c r="F667" s="10"/>
      <c r="G667" s="10">
        <v>1</v>
      </c>
      <c r="H667" s="10" t="s">
        <v>10</v>
      </c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4.25" customHeight="1" x14ac:dyDescent="0.3">
      <c r="A668" s="8"/>
      <c r="B668" s="38">
        <v>45645</v>
      </c>
      <c r="C668" s="9" t="s">
        <v>41</v>
      </c>
      <c r="D668" s="9" t="s">
        <v>20</v>
      </c>
      <c r="E668" s="11" t="s">
        <v>42</v>
      </c>
      <c r="F668" s="10"/>
      <c r="G668" s="10">
        <v>2</v>
      </c>
      <c r="H668" s="10" t="s">
        <v>10</v>
      </c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4.25" customHeight="1" x14ac:dyDescent="0.3">
      <c r="A669" s="8"/>
      <c r="B669" s="38">
        <v>45645</v>
      </c>
      <c r="C669" s="14" t="s">
        <v>126</v>
      </c>
      <c r="D669" s="9" t="s">
        <v>12</v>
      </c>
      <c r="E669" s="11" t="s">
        <v>97</v>
      </c>
      <c r="F669" s="10"/>
      <c r="G669" s="10">
        <f>42-34</f>
        <v>8</v>
      </c>
      <c r="H669" s="10" t="s">
        <v>10</v>
      </c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4.25" customHeight="1" x14ac:dyDescent="0.3">
      <c r="A670" s="8"/>
      <c r="B670" s="38">
        <v>45645</v>
      </c>
      <c r="C670" s="9" t="s">
        <v>43</v>
      </c>
      <c r="D670" s="9" t="s">
        <v>20</v>
      </c>
      <c r="E670" s="11" t="s">
        <v>44</v>
      </c>
      <c r="F670" s="10"/>
      <c r="G670" s="10">
        <f>8-5.7</f>
        <v>2.2999999999999998</v>
      </c>
      <c r="H670" s="10" t="s">
        <v>10</v>
      </c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4.25" customHeight="1" x14ac:dyDescent="0.3">
      <c r="A671" s="8"/>
      <c r="B671" s="38">
        <v>45645</v>
      </c>
      <c r="C671" s="9" t="s">
        <v>77</v>
      </c>
      <c r="D671" s="9" t="s">
        <v>20</v>
      </c>
      <c r="E671" s="11" t="s">
        <v>78</v>
      </c>
      <c r="F671" s="10">
        <v>0.8</v>
      </c>
      <c r="G671" s="10"/>
      <c r="H671" s="10" t="s">
        <v>18</v>
      </c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4.25" customHeight="1" x14ac:dyDescent="0.3">
      <c r="A672" s="8"/>
      <c r="B672" s="38">
        <v>45645</v>
      </c>
      <c r="C672" s="9" t="s">
        <v>51</v>
      </c>
      <c r="D672" s="9" t="s">
        <v>20</v>
      </c>
      <c r="E672" s="11" t="s">
        <v>52</v>
      </c>
      <c r="F672" s="10"/>
      <c r="G672" s="10">
        <v>2</v>
      </c>
      <c r="H672" s="10" t="s">
        <v>10</v>
      </c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4.25" customHeight="1" x14ac:dyDescent="0.3">
      <c r="A673" s="8"/>
      <c r="B673" s="38">
        <v>45645</v>
      </c>
      <c r="C673" s="9" t="s">
        <v>39</v>
      </c>
      <c r="D673" s="9" t="s">
        <v>20</v>
      </c>
      <c r="E673" s="11" t="s">
        <v>40</v>
      </c>
      <c r="F673" s="10">
        <v>6</v>
      </c>
      <c r="G673" s="10"/>
      <c r="H673" s="10" t="s">
        <v>18</v>
      </c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4.25" customHeight="1" x14ac:dyDescent="0.3">
      <c r="A674" s="8"/>
      <c r="B674" s="38">
        <v>45645</v>
      </c>
      <c r="C674" s="9" t="s">
        <v>41</v>
      </c>
      <c r="D674" s="9" t="s">
        <v>20</v>
      </c>
      <c r="E674" s="11" t="s">
        <v>42</v>
      </c>
      <c r="F674" s="10">
        <v>9.3000000000000007</v>
      </c>
      <c r="G674" s="10"/>
      <c r="H674" s="10" t="s">
        <v>18</v>
      </c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4.25" customHeight="1" x14ac:dyDescent="0.3">
      <c r="A675" s="8"/>
      <c r="B675" s="38">
        <v>45645</v>
      </c>
      <c r="C675" s="9" t="s">
        <v>80</v>
      </c>
      <c r="D675" s="9" t="s">
        <v>71</v>
      </c>
      <c r="E675" s="11" t="s">
        <v>81</v>
      </c>
      <c r="F675" s="10"/>
      <c r="G675" s="10">
        <v>1</v>
      </c>
      <c r="H675" s="10" t="s">
        <v>10</v>
      </c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4.25" customHeight="1" x14ac:dyDescent="0.3">
      <c r="A676" s="8"/>
      <c r="B676" s="38">
        <v>45645</v>
      </c>
      <c r="C676" s="9" t="s">
        <v>66</v>
      </c>
      <c r="D676" s="9" t="s">
        <v>20</v>
      </c>
      <c r="E676" s="11" t="s">
        <v>67</v>
      </c>
      <c r="F676" s="10"/>
      <c r="G676" s="10">
        <v>5.0999999999999996</v>
      </c>
      <c r="H676" s="10" t="s">
        <v>10</v>
      </c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4.25" customHeight="1" x14ac:dyDescent="0.3">
      <c r="A677" s="8"/>
      <c r="B677" s="38">
        <v>45645</v>
      </c>
      <c r="C677" s="31" t="s">
        <v>61</v>
      </c>
      <c r="D677" s="9" t="s">
        <v>20</v>
      </c>
      <c r="E677" s="11" t="s">
        <v>62</v>
      </c>
      <c r="F677" s="10"/>
      <c r="G677" s="10">
        <f>17.5-9</f>
        <v>8.5</v>
      </c>
      <c r="H677" s="10" t="s">
        <v>10</v>
      </c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4.25" customHeight="1" x14ac:dyDescent="0.3">
      <c r="A678" s="8"/>
      <c r="B678" s="38">
        <v>45645</v>
      </c>
      <c r="C678" s="18" t="s">
        <v>115</v>
      </c>
      <c r="D678" s="25" t="s">
        <v>12</v>
      </c>
      <c r="E678" s="11" t="s">
        <v>116</v>
      </c>
      <c r="F678" s="10"/>
      <c r="G678" s="10">
        <v>1</v>
      </c>
      <c r="H678" s="10" t="s">
        <v>10</v>
      </c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4.25" customHeight="1" x14ac:dyDescent="0.3">
      <c r="A679" s="8"/>
      <c r="B679" s="38">
        <v>45646</v>
      </c>
      <c r="C679" s="26" t="s">
        <v>101</v>
      </c>
      <c r="D679" s="9" t="s">
        <v>8</v>
      </c>
      <c r="E679" s="11" t="s">
        <v>102</v>
      </c>
      <c r="F679" s="10"/>
      <c r="G679" s="10">
        <v>1</v>
      </c>
      <c r="H679" s="10" t="s">
        <v>10</v>
      </c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4.25" customHeight="1" x14ac:dyDescent="0.3">
      <c r="A680" s="8"/>
      <c r="B680" s="38">
        <v>45646</v>
      </c>
      <c r="C680" s="8" t="s">
        <v>93</v>
      </c>
      <c r="D680" s="9" t="s">
        <v>12</v>
      </c>
      <c r="E680" s="18" t="s">
        <v>94</v>
      </c>
      <c r="F680" s="10"/>
      <c r="G680" s="10">
        <v>30</v>
      </c>
      <c r="H680" s="10" t="s">
        <v>10</v>
      </c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4.25" customHeight="1" x14ac:dyDescent="0.3">
      <c r="A681" s="8"/>
      <c r="B681" s="38">
        <v>45646</v>
      </c>
      <c r="C681" s="42" t="s">
        <v>106</v>
      </c>
      <c r="D681" s="25" t="s">
        <v>33</v>
      </c>
      <c r="E681" s="11" t="s">
        <v>107</v>
      </c>
      <c r="F681" s="10"/>
      <c r="G681" s="10">
        <v>1</v>
      </c>
      <c r="H681" s="10" t="s">
        <v>10</v>
      </c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4.25" customHeight="1" x14ac:dyDescent="0.3">
      <c r="A682" s="8"/>
      <c r="B682" s="38">
        <v>45646</v>
      </c>
      <c r="C682" s="9" t="s">
        <v>57</v>
      </c>
      <c r="D682" s="9" t="s">
        <v>12</v>
      </c>
      <c r="E682" s="11" t="s">
        <v>58</v>
      </c>
      <c r="F682" s="10"/>
      <c r="G682" s="10">
        <v>80</v>
      </c>
      <c r="H682" s="10" t="s">
        <v>10</v>
      </c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4.25" customHeight="1" x14ac:dyDescent="0.3">
      <c r="A683" s="8"/>
      <c r="B683" s="38">
        <v>45646</v>
      </c>
      <c r="C683" s="9" t="s">
        <v>51</v>
      </c>
      <c r="D683" s="9" t="s">
        <v>20</v>
      </c>
      <c r="E683" s="11" t="s">
        <v>52</v>
      </c>
      <c r="F683" s="10">
        <v>10</v>
      </c>
      <c r="G683" s="10"/>
      <c r="H683" s="10" t="s">
        <v>18</v>
      </c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4.25" customHeight="1" x14ac:dyDescent="0.3">
      <c r="A684" s="8"/>
      <c r="B684" s="38">
        <v>45646</v>
      </c>
      <c r="C684" s="43" t="s">
        <v>28</v>
      </c>
      <c r="D684" s="40" t="s">
        <v>8</v>
      </c>
      <c r="E684" s="41" t="s">
        <v>29</v>
      </c>
      <c r="F684" s="10">
        <v>3</v>
      </c>
      <c r="G684" s="10"/>
      <c r="H684" s="10" t="s">
        <v>18</v>
      </c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4.25" customHeight="1" x14ac:dyDescent="0.3">
      <c r="A685" s="8"/>
      <c r="B685" s="38">
        <v>45646</v>
      </c>
      <c r="C685" s="44" t="s">
        <v>7</v>
      </c>
      <c r="D685" s="45" t="s">
        <v>8</v>
      </c>
      <c r="E685" s="46" t="s">
        <v>9</v>
      </c>
      <c r="F685" s="10">
        <v>3</v>
      </c>
      <c r="G685" s="10"/>
      <c r="H685" s="10" t="s">
        <v>18</v>
      </c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4.25" customHeight="1" x14ac:dyDescent="0.3">
      <c r="A686" s="8"/>
      <c r="B686" s="38">
        <v>45646</v>
      </c>
      <c r="C686" s="9" t="s">
        <v>30</v>
      </c>
      <c r="D686" s="9" t="s">
        <v>8</v>
      </c>
      <c r="E686" s="11" t="s">
        <v>31</v>
      </c>
      <c r="F686" s="10">
        <v>1</v>
      </c>
      <c r="G686" s="10"/>
      <c r="H686" s="10" t="s">
        <v>18</v>
      </c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4.25" customHeight="1" x14ac:dyDescent="0.3">
      <c r="A687" s="8"/>
      <c r="B687" s="38">
        <v>45646</v>
      </c>
      <c r="C687" s="9" t="s">
        <v>75</v>
      </c>
      <c r="D687" s="9" t="s">
        <v>8</v>
      </c>
      <c r="E687" s="11" t="s">
        <v>76</v>
      </c>
      <c r="F687" s="10">
        <v>1</v>
      </c>
      <c r="G687" s="10"/>
      <c r="H687" s="10" t="s">
        <v>18</v>
      </c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4.25" customHeight="1" x14ac:dyDescent="0.3">
      <c r="A688" s="8"/>
      <c r="B688" s="38">
        <v>45646</v>
      </c>
      <c r="C688" s="20" t="s">
        <v>128</v>
      </c>
      <c r="D688" s="9" t="s">
        <v>12</v>
      </c>
      <c r="E688" s="11" t="s">
        <v>129</v>
      </c>
      <c r="F688" s="10">
        <v>12</v>
      </c>
      <c r="G688" s="10"/>
      <c r="H688" s="10" t="s">
        <v>18</v>
      </c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4.25" customHeight="1" x14ac:dyDescent="0.3">
      <c r="A689" s="8"/>
      <c r="B689" s="38">
        <v>45648</v>
      </c>
      <c r="C689" s="9" t="s">
        <v>14</v>
      </c>
      <c r="D689" s="9" t="s">
        <v>12</v>
      </c>
      <c r="E689" s="11" t="s">
        <v>15</v>
      </c>
      <c r="F689" s="10"/>
      <c r="G689" s="10">
        <v>16</v>
      </c>
      <c r="H689" s="10" t="s">
        <v>10</v>
      </c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4.25" customHeight="1" x14ac:dyDescent="0.3">
      <c r="A690" s="8"/>
      <c r="B690" s="38">
        <v>45648</v>
      </c>
      <c r="C690" s="9" t="s">
        <v>43</v>
      </c>
      <c r="D690" s="9" t="s">
        <v>20</v>
      </c>
      <c r="E690" s="11" t="s">
        <v>44</v>
      </c>
      <c r="F690" s="10">
        <v>12.63</v>
      </c>
      <c r="G690" s="10"/>
      <c r="H690" s="10" t="s">
        <v>18</v>
      </c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4.25" customHeight="1" x14ac:dyDescent="0.3">
      <c r="A691" s="8"/>
      <c r="B691" s="38">
        <v>45648</v>
      </c>
      <c r="C691" s="18" t="s">
        <v>108</v>
      </c>
      <c r="D691" s="9" t="s">
        <v>12</v>
      </c>
      <c r="E691" s="11" t="s">
        <v>109</v>
      </c>
      <c r="F691" s="10">
        <v>2</v>
      </c>
      <c r="G691" s="10"/>
      <c r="H691" s="10" t="s">
        <v>18</v>
      </c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4.25" customHeight="1" x14ac:dyDescent="0.3">
      <c r="A692" s="8"/>
      <c r="B692" s="38">
        <v>45648</v>
      </c>
      <c r="C692" s="9" t="s">
        <v>39</v>
      </c>
      <c r="D692" s="9" t="s">
        <v>20</v>
      </c>
      <c r="E692" s="11" t="s">
        <v>40</v>
      </c>
      <c r="F692" s="10">
        <v>10</v>
      </c>
      <c r="G692" s="10"/>
      <c r="H692" s="10" t="s">
        <v>18</v>
      </c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4.25" customHeight="1" x14ac:dyDescent="0.3">
      <c r="A693" s="8"/>
      <c r="B693" s="38">
        <v>45648</v>
      </c>
      <c r="C693" s="9" t="s">
        <v>41</v>
      </c>
      <c r="D693" s="9" t="s">
        <v>20</v>
      </c>
      <c r="E693" s="11" t="s">
        <v>42</v>
      </c>
      <c r="F693" s="10">
        <v>10</v>
      </c>
      <c r="G693" s="10"/>
      <c r="H693" s="10" t="s">
        <v>18</v>
      </c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4.25" customHeight="1" x14ac:dyDescent="0.3">
      <c r="A694" s="8"/>
      <c r="B694" s="38">
        <v>45648</v>
      </c>
      <c r="C694" s="9" t="s">
        <v>77</v>
      </c>
      <c r="D694" s="9" t="s">
        <v>20</v>
      </c>
      <c r="E694" s="11" t="s">
        <v>78</v>
      </c>
      <c r="F694" s="10">
        <v>1.38</v>
      </c>
      <c r="G694" s="10"/>
      <c r="H694" s="10" t="s">
        <v>18</v>
      </c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4.25" customHeight="1" x14ac:dyDescent="0.3">
      <c r="A695" s="8"/>
      <c r="B695" s="38">
        <v>45648</v>
      </c>
      <c r="C695" s="26" t="s">
        <v>87</v>
      </c>
      <c r="D695" s="9" t="s">
        <v>20</v>
      </c>
      <c r="E695" s="11" t="s">
        <v>88</v>
      </c>
      <c r="F695" s="10">
        <v>10</v>
      </c>
      <c r="G695" s="10"/>
      <c r="H695" s="10" t="s">
        <v>18</v>
      </c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4.25" customHeight="1" x14ac:dyDescent="0.3">
      <c r="A696" s="8"/>
      <c r="B696" s="38" t="s">
        <v>130</v>
      </c>
      <c r="C696" s="50" t="s">
        <v>75</v>
      </c>
      <c r="D696" s="9" t="s">
        <v>8</v>
      </c>
      <c r="E696" s="11" t="s">
        <v>76</v>
      </c>
      <c r="F696" s="10">
        <v>1</v>
      </c>
      <c r="G696" s="10"/>
      <c r="H696" s="10" t="s">
        <v>18</v>
      </c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4.25" customHeight="1" x14ac:dyDescent="0.3">
      <c r="A697" s="8"/>
      <c r="B697" s="38">
        <v>45649</v>
      </c>
      <c r="C697" s="9" t="s">
        <v>45</v>
      </c>
      <c r="D697" s="9" t="s">
        <v>12</v>
      </c>
      <c r="E697" s="11" t="s">
        <v>59</v>
      </c>
      <c r="F697" s="10"/>
      <c r="G697" s="10">
        <v>80</v>
      </c>
      <c r="H697" s="10" t="s">
        <v>10</v>
      </c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4.25" customHeight="1" x14ac:dyDescent="0.3">
      <c r="A698" s="8"/>
      <c r="B698" s="38">
        <v>45649</v>
      </c>
      <c r="C698" s="51" t="s">
        <v>30</v>
      </c>
      <c r="D698" s="9" t="s">
        <v>8</v>
      </c>
      <c r="E698" s="52" t="s">
        <v>31</v>
      </c>
      <c r="F698" s="10">
        <v>1</v>
      </c>
      <c r="G698" s="10"/>
      <c r="H698" s="10" t="s">
        <v>18</v>
      </c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4.25" customHeight="1" x14ac:dyDescent="0.3">
      <c r="A699" s="8"/>
      <c r="B699" s="38">
        <v>45650</v>
      </c>
      <c r="C699" s="18" t="s">
        <v>131</v>
      </c>
      <c r="D699" s="9" t="s">
        <v>20</v>
      </c>
      <c r="E699" s="18" t="s">
        <v>132</v>
      </c>
      <c r="F699" s="36">
        <v>20</v>
      </c>
      <c r="G699" s="10"/>
      <c r="H699" s="10" t="s">
        <v>18</v>
      </c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4.25" customHeight="1" x14ac:dyDescent="0.3">
      <c r="A700" s="8"/>
      <c r="B700" s="38">
        <v>45650</v>
      </c>
      <c r="C700" s="43" t="s">
        <v>28</v>
      </c>
      <c r="D700" s="40" t="s">
        <v>8</v>
      </c>
      <c r="E700" s="41" t="s">
        <v>29</v>
      </c>
      <c r="F700" s="36">
        <v>3</v>
      </c>
      <c r="G700" s="10"/>
      <c r="H700" s="10" t="s">
        <v>18</v>
      </c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4.25" customHeight="1" x14ac:dyDescent="0.3">
      <c r="A701" s="8"/>
      <c r="B701" s="38">
        <v>45650</v>
      </c>
      <c r="C701" s="44" t="s">
        <v>7</v>
      </c>
      <c r="D701" s="45" t="s">
        <v>8</v>
      </c>
      <c r="E701" s="46" t="s">
        <v>9</v>
      </c>
      <c r="F701" s="36">
        <v>2</v>
      </c>
      <c r="G701" s="10"/>
      <c r="H701" s="10" t="s">
        <v>18</v>
      </c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4.25" customHeight="1" x14ac:dyDescent="0.3">
      <c r="A702" s="8"/>
      <c r="B702" s="38">
        <v>45650</v>
      </c>
      <c r="C702" s="9" t="s">
        <v>39</v>
      </c>
      <c r="D702" s="9" t="s">
        <v>20</v>
      </c>
      <c r="E702" s="11" t="s">
        <v>40</v>
      </c>
      <c r="F702" s="36">
        <v>7.5</v>
      </c>
      <c r="G702" s="10"/>
      <c r="H702" s="10" t="s">
        <v>18</v>
      </c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4.25" customHeight="1" x14ac:dyDescent="0.3">
      <c r="A703" s="8"/>
      <c r="B703" s="38">
        <v>45650</v>
      </c>
      <c r="C703" s="9" t="s">
        <v>41</v>
      </c>
      <c r="D703" s="9" t="s">
        <v>20</v>
      </c>
      <c r="E703" s="11" t="s">
        <v>42</v>
      </c>
      <c r="F703" s="36">
        <v>7.5</v>
      </c>
      <c r="G703" s="10"/>
      <c r="H703" s="10" t="s">
        <v>18</v>
      </c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4.25" customHeight="1" x14ac:dyDescent="0.3">
      <c r="A704" s="8"/>
      <c r="B704" s="53">
        <v>45650</v>
      </c>
      <c r="C704" s="32" t="s">
        <v>11</v>
      </c>
      <c r="D704" s="45" t="s">
        <v>12</v>
      </c>
      <c r="E704" s="54" t="s">
        <v>13</v>
      </c>
      <c r="F704" s="24">
        <v>24</v>
      </c>
      <c r="G704" s="55"/>
      <c r="H704" s="55" t="s">
        <v>18</v>
      </c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4.25" customHeight="1" x14ac:dyDescent="0.3">
      <c r="A705" s="8"/>
      <c r="B705" s="38">
        <v>45651</v>
      </c>
      <c r="C705" s="43" t="s">
        <v>68</v>
      </c>
      <c r="D705" s="40" t="s">
        <v>12</v>
      </c>
      <c r="E705" s="41" t="s">
        <v>69</v>
      </c>
      <c r="F705" s="36">
        <v>8</v>
      </c>
      <c r="G705" s="10"/>
      <c r="H705" s="10" t="s">
        <v>18</v>
      </c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4.25" customHeight="1" x14ac:dyDescent="0.3">
      <c r="A706" s="8"/>
      <c r="B706" s="38">
        <v>45651</v>
      </c>
      <c r="C706" s="51" t="s">
        <v>30</v>
      </c>
      <c r="D706" s="9" t="s">
        <v>8</v>
      </c>
      <c r="E706" s="52" t="s">
        <v>31</v>
      </c>
      <c r="F706" s="36">
        <v>1</v>
      </c>
      <c r="G706" s="10"/>
      <c r="H706" s="10" t="s">
        <v>18</v>
      </c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4.25" customHeight="1" x14ac:dyDescent="0.3">
      <c r="A707" s="8"/>
      <c r="B707" s="38">
        <v>45651</v>
      </c>
      <c r="C707" s="26" t="s">
        <v>53</v>
      </c>
      <c r="D707" s="40" t="s">
        <v>12</v>
      </c>
      <c r="E707" s="18" t="s">
        <v>54</v>
      </c>
      <c r="F707" s="36">
        <v>72</v>
      </c>
      <c r="G707" s="10"/>
      <c r="H707" s="10" t="s">
        <v>18</v>
      </c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4.25" customHeight="1" x14ac:dyDescent="0.3">
      <c r="A708" s="8"/>
      <c r="B708" s="38">
        <v>45652</v>
      </c>
      <c r="C708" s="14" t="s">
        <v>127</v>
      </c>
      <c r="D708" s="9" t="s">
        <v>12</v>
      </c>
      <c r="E708" s="18" t="s">
        <v>99</v>
      </c>
      <c r="F708" s="10"/>
      <c r="G708" s="10">
        <v>25</v>
      </c>
      <c r="H708" s="10" t="s">
        <v>10</v>
      </c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4.25" customHeight="1" x14ac:dyDescent="0.3">
      <c r="A709" s="8"/>
      <c r="B709" s="38">
        <v>45652</v>
      </c>
      <c r="C709" s="42" t="s">
        <v>106</v>
      </c>
      <c r="D709" s="25" t="s">
        <v>33</v>
      </c>
      <c r="E709" s="11" t="s">
        <v>107</v>
      </c>
      <c r="F709" s="10"/>
      <c r="G709" s="10">
        <v>1</v>
      </c>
      <c r="H709" s="10" t="s">
        <v>10</v>
      </c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4.25" customHeight="1" x14ac:dyDescent="0.3">
      <c r="A710" s="8"/>
      <c r="B710" s="38">
        <v>45652</v>
      </c>
      <c r="C710" s="43" t="s">
        <v>28</v>
      </c>
      <c r="D710" s="40" t="s">
        <v>8</v>
      </c>
      <c r="E710" s="41" t="s">
        <v>29</v>
      </c>
      <c r="F710" s="10">
        <v>3</v>
      </c>
      <c r="G710" s="10"/>
      <c r="H710" s="10" t="s">
        <v>18</v>
      </c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4.25" customHeight="1" x14ac:dyDescent="0.3">
      <c r="A711" s="8"/>
      <c r="B711" s="38">
        <v>45652</v>
      </c>
      <c r="C711" s="44" t="s">
        <v>7</v>
      </c>
      <c r="D711" s="45" t="s">
        <v>8</v>
      </c>
      <c r="E711" s="46" t="s">
        <v>9</v>
      </c>
      <c r="F711" s="10">
        <v>2</v>
      </c>
      <c r="G711" s="10"/>
      <c r="H711" s="10" t="s">
        <v>18</v>
      </c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4.25" customHeight="1" x14ac:dyDescent="0.3">
      <c r="A712" s="8"/>
      <c r="B712" s="38">
        <v>45652</v>
      </c>
      <c r="C712" s="20" t="s">
        <v>189</v>
      </c>
      <c r="D712" s="25" t="s">
        <v>12</v>
      </c>
      <c r="E712" s="11" t="s">
        <v>92</v>
      </c>
      <c r="F712" s="10">
        <v>180</v>
      </c>
      <c r="G712" s="10"/>
      <c r="H712" s="10" t="s">
        <v>18</v>
      </c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4.25" customHeight="1" x14ac:dyDescent="0.3">
      <c r="A713" s="8"/>
      <c r="B713" s="38">
        <v>45653</v>
      </c>
      <c r="C713" s="9" t="s">
        <v>55</v>
      </c>
      <c r="D713" s="9" t="s">
        <v>12</v>
      </c>
      <c r="E713" s="11" t="s">
        <v>56</v>
      </c>
      <c r="F713" s="10"/>
      <c r="G713" s="10">
        <v>60</v>
      </c>
      <c r="H713" s="10" t="s">
        <v>10</v>
      </c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4.25" customHeight="1" x14ac:dyDescent="0.3">
      <c r="A714" s="8"/>
      <c r="B714" s="38">
        <v>45653</v>
      </c>
      <c r="C714" s="42" t="s">
        <v>106</v>
      </c>
      <c r="D714" s="25" t="s">
        <v>33</v>
      </c>
      <c r="E714" s="11" t="s">
        <v>107</v>
      </c>
      <c r="F714" s="10"/>
      <c r="G714" s="10">
        <v>1</v>
      </c>
      <c r="H714" s="10" t="s">
        <v>10</v>
      </c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4.25" customHeight="1" x14ac:dyDescent="0.3">
      <c r="A715" s="8"/>
      <c r="B715" s="38">
        <v>45653</v>
      </c>
      <c r="C715" s="9" t="s">
        <v>45</v>
      </c>
      <c r="D715" s="9" t="s">
        <v>12</v>
      </c>
      <c r="E715" s="11" t="s">
        <v>59</v>
      </c>
      <c r="F715" s="10"/>
      <c r="G715" s="10">
        <v>80</v>
      </c>
      <c r="H715" s="10" t="s">
        <v>10</v>
      </c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4.25" customHeight="1" x14ac:dyDescent="0.3">
      <c r="A716" s="8"/>
      <c r="B716" s="38">
        <v>45654</v>
      </c>
      <c r="C716" s="43" t="s">
        <v>28</v>
      </c>
      <c r="D716" s="40" t="s">
        <v>8</v>
      </c>
      <c r="E716" s="41" t="s">
        <v>29</v>
      </c>
      <c r="F716" s="10">
        <v>3</v>
      </c>
      <c r="G716" s="10"/>
      <c r="H716" s="10" t="s">
        <v>18</v>
      </c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4.25" customHeight="1" x14ac:dyDescent="0.3">
      <c r="A717" s="8"/>
      <c r="B717" s="38">
        <v>45654</v>
      </c>
      <c r="C717" s="44" t="s">
        <v>7</v>
      </c>
      <c r="D717" s="45" t="s">
        <v>8</v>
      </c>
      <c r="E717" s="46" t="s">
        <v>9</v>
      </c>
      <c r="F717" s="10">
        <v>3</v>
      </c>
      <c r="G717" s="10"/>
      <c r="H717" s="10" t="s">
        <v>18</v>
      </c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4.25" customHeight="1" x14ac:dyDescent="0.3">
      <c r="A718" s="8"/>
      <c r="B718" s="38">
        <v>45654</v>
      </c>
      <c r="C718" s="43" t="s">
        <v>70</v>
      </c>
      <c r="D718" s="40" t="s">
        <v>12</v>
      </c>
      <c r="E718" s="41" t="s">
        <v>72</v>
      </c>
      <c r="F718" s="10">
        <v>2</v>
      </c>
      <c r="G718" s="10"/>
      <c r="H718" s="10" t="s">
        <v>18</v>
      </c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4.25" customHeight="1" x14ac:dyDescent="0.3">
      <c r="A719" s="8"/>
      <c r="B719" s="38">
        <v>45654</v>
      </c>
      <c r="C719" s="14" t="s">
        <v>61</v>
      </c>
      <c r="D719" s="9" t="s">
        <v>20</v>
      </c>
      <c r="E719" s="11" t="s">
        <v>62</v>
      </c>
      <c r="F719" s="10">
        <v>10</v>
      </c>
      <c r="G719" s="10"/>
      <c r="H719" s="10" t="s">
        <v>18</v>
      </c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4.25" customHeight="1" x14ac:dyDescent="0.3">
      <c r="A720" s="8"/>
      <c r="B720" s="38">
        <v>45654</v>
      </c>
      <c r="C720" s="14" t="s">
        <v>127</v>
      </c>
      <c r="D720" s="9" t="s">
        <v>12</v>
      </c>
      <c r="E720" s="18" t="s">
        <v>99</v>
      </c>
      <c r="F720" s="10">
        <v>24</v>
      </c>
      <c r="G720" s="10"/>
      <c r="H720" s="10" t="s">
        <v>18</v>
      </c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4.25" customHeight="1" x14ac:dyDescent="0.3">
      <c r="A721" s="8"/>
      <c r="B721" s="38">
        <v>45654</v>
      </c>
      <c r="C721" s="9" t="s">
        <v>43</v>
      </c>
      <c r="D721" s="9" t="s">
        <v>20</v>
      </c>
      <c r="E721" s="11" t="s">
        <v>44</v>
      </c>
      <c r="F721" s="10">
        <v>12.7</v>
      </c>
      <c r="G721" s="10"/>
      <c r="H721" s="10" t="s">
        <v>18</v>
      </c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4.25" customHeight="1" x14ac:dyDescent="0.3">
      <c r="A722" s="8"/>
      <c r="B722" s="38">
        <v>45654</v>
      </c>
      <c r="C722" s="9" t="s">
        <v>45</v>
      </c>
      <c r="D722" s="9" t="s">
        <v>12</v>
      </c>
      <c r="E722" s="11" t="s">
        <v>59</v>
      </c>
      <c r="F722" s="10"/>
      <c r="G722" s="10">
        <v>80</v>
      </c>
      <c r="H722" s="10" t="s">
        <v>10</v>
      </c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4.25" customHeight="1" x14ac:dyDescent="0.3">
      <c r="A723" s="8"/>
      <c r="B723" s="38">
        <v>45655</v>
      </c>
      <c r="C723" s="9" t="s">
        <v>55</v>
      </c>
      <c r="D723" s="9" t="s">
        <v>12</v>
      </c>
      <c r="E723" s="11" t="s">
        <v>56</v>
      </c>
      <c r="F723" s="10"/>
      <c r="G723" s="10">
        <v>120</v>
      </c>
      <c r="H723" s="10" t="s">
        <v>10</v>
      </c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4.25" customHeight="1" x14ac:dyDescent="0.3">
      <c r="A724" s="8"/>
      <c r="B724" s="38">
        <v>45655</v>
      </c>
      <c r="C724" s="14" t="s">
        <v>110</v>
      </c>
      <c r="D724" s="9" t="s">
        <v>12</v>
      </c>
      <c r="E724" s="11" t="s">
        <v>111</v>
      </c>
      <c r="F724" s="10">
        <v>48</v>
      </c>
      <c r="G724" s="10"/>
      <c r="H724" s="10" t="s">
        <v>18</v>
      </c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4.25" customHeight="1" x14ac:dyDescent="0.3">
      <c r="A725" s="8"/>
      <c r="B725" s="38">
        <v>45655</v>
      </c>
      <c r="C725" s="43" t="s">
        <v>68</v>
      </c>
      <c r="D725" s="40" t="s">
        <v>12</v>
      </c>
      <c r="E725" s="41" t="s">
        <v>69</v>
      </c>
      <c r="F725" s="10">
        <v>10</v>
      </c>
      <c r="G725" s="10"/>
      <c r="H725" s="10" t="s">
        <v>18</v>
      </c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4.25" customHeight="1" x14ac:dyDescent="0.3">
      <c r="A726" s="8"/>
      <c r="B726" s="38">
        <v>45655</v>
      </c>
      <c r="C726" s="9" t="s">
        <v>77</v>
      </c>
      <c r="D726" s="9" t="s">
        <v>20</v>
      </c>
      <c r="E726" s="11" t="s">
        <v>78</v>
      </c>
      <c r="F726" s="10">
        <v>2.94</v>
      </c>
      <c r="G726" s="10"/>
      <c r="H726" s="10" t="s">
        <v>18</v>
      </c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4.25" customHeight="1" x14ac:dyDescent="0.3">
      <c r="A727" s="8"/>
      <c r="B727" s="38">
        <v>45655</v>
      </c>
      <c r="C727" s="43" t="s">
        <v>70</v>
      </c>
      <c r="D727" s="40" t="s">
        <v>12</v>
      </c>
      <c r="E727" s="41" t="s">
        <v>72</v>
      </c>
      <c r="F727" s="10">
        <v>1</v>
      </c>
      <c r="G727" s="10"/>
      <c r="H727" s="10" t="s">
        <v>18</v>
      </c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4.25" customHeight="1" x14ac:dyDescent="0.3">
      <c r="A728" s="8"/>
      <c r="B728" s="38">
        <v>45655</v>
      </c>
      <c r="C728" s="9" t="s">
        <v>80</v>
      </c>
      <c r="D728" s="9" t="s">
        <v>12</v>
      </c>
      <c r="E728" s="11" t="s">
        <v>81</v>
      </c>
      <c r="F728" s="10">
        <v>1</v>
      </c>
      <c r="G728" s="10"/>
      <c r="H728" s="10" t="s">
        <v>18</v>
      </c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4.25" customHeight="1" x14ac:dyDescent="0.3">
      <c r="A729" s="8"/>
      <c r="B729" s="38">
        <v>45655</v>
      </c>
      <c r="C729" s="43" t="s">
        <v>28</v>
      </c>
      <c r="D729" s="40" t="s">
        <v>8</v>
      </c>
      <c r="E729" s="41" t="s">
        <v>29</v>
      </c>
      <c r="F729" s="10">
        <v>3</v>
      </c>
      <c r="G729" s="10"/>
      <c r="H729" s="10" t="s">
        <v>18</v>
      </c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4.25" customHeight="1" x14ac:dyDescent="0.3">
      <c r="A730" s="8"/>
      <c r="B730" s="38">
        <v>45655</v>
      </c>
      <c r="C730" s="9" t="s">
        <v>30</v>
      </c>
      <c r="D730" s="9" t="s">
        <v>8</v>
      </c>
      <c r="E730" s="11" t="s">
        <v>31</v>
      </c>
      <c r="F730" s="10">
        <v>1</v>
      </c>
      <c r="G730" s="10"/>
      <c r="H730" s="10" t="s">
        <v>18</v>
      </c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4.25" customHeight="1" x14ac:dyDescent="0.3">
      <c r="A731" s="8"/>
      <c r="B731" s="38">
        <v>45656</v>
      </c>
      <c r="C731" s="43" t="s">
        <v>28</v>
      </c>
      <c r="D731" s="40" t="s">
        <v>8</v>
      </c>
      <c r="E731" s="41" t="s">
        <v>29</v>
      </c>
      <c r="F731" s="10"/>
      <c r="G731" s="10">
        <v>15</v>
      </c>
      <c r="H731" s="10" t="s">
        <v>10</v>
      </c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4.25" customHeight="1" x14ac:dyDescent="0.3">
      <c r="A732" s="8"/>
      <c r="B732" s="38">
        <v>45656</v>
      </c>
      <c r="C732" s="9" t="s">
        <v>7</v>
      </c>
      <c r="D732" s="9" t="s">
        <v>8</v>
      </c>
      <c r="E732" s="11" t="s">
        <v>9</v>
      </c>
      <c r="F732" s="10"/>
      <c r="G732" s="10">
        <v>9</v>
      </c>
      <c r="H732" s="10" t="s">
        <v>10</v>
      </c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4.25" customHeight="1" x14ac:dyDescent="0.3">
      <c r="A733" s="8"/>
      <c r="B733" s="38">
        <v>45656</v>
      </c>
      <c r="C733" s="43" t="s">
        <v>30</v>
      </c>
      <c r="D733" s="40" t="s">
        <v>8</v>
      </c>
      <c r="E733" s="41" t="s">
        <v>31</v>
      </c>
      <c r="F733" s="10"/>
      <c r="G733" s="10">
        <v>4</v>
      </c>
      <c r="H733" s="10" t="s">
        <v>10</v>
      </c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4.25" customHeight="1" x14ac:dyDescent="0.3">
      <c r="A734" s="8"/>
      <c r="B734" s="38">
        <v>45656</v>
      </c>
      <c r="C734" s="9" t="s">
        <v>75</v>
      </c>
      <c r="D734" s="9" t="s">
        <v>8</v>
      </c>
      <c r="E734" s="11" t="s">
        <v>76</v>
      </c>
      <c r="F734" s="10"/>
      <c r="G734" s="10">
        <v>1</v>
      </c>
      <c r="H734" s="10" t="s">
        <v>10</v>
      </c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4.25" customHeight="1" x14ac:dyDescent="0.3">
      <c r="A735" s="8"/>
      <c r="B735" s="38">
        <v>45656</v>
      </c>
      <c r="C735" s="9" t="s">
        <v>133</v>
      </c>
      <c r="D735" s="9" t="s">
        <v>12</v>
      </c>
      <c r="E735" s="11" t="s">
        <v>129</v>
      </c>
      <c r="F735" s="10"/>
      <c r="G735" s="10">
        <v>12</v>
      </c>
      <c r="H735" s="10" t="s">
        <v>10</v>
      </c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4.25" customHeight="1" x14ac:dyDescent="0.3">
      <c r="A736" s="8"/>
      <c r="B736" s="38">
        <v>45656</v>
      </c>
      <c r="C736" s="9" t="s">
        <v>30</v>
      </c>
      <c r="D736" s="9" t="s">
        <v>8</v>
      </c>
      <c r="E736" s="11" t="s">
        <v>31</v>
      </c>
      <c r="F736" s="10"/>
      <c r="G736" s="10">
        <v>1</v>
      </c>
      <c r="H736" s="10" t="s">
        <v>10</v>
      </c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4.25" customHeight="1" x14ac:dyDescent="0.3">
      <c r="A737" s="8"/>
      <c r="B737" s="38">
        <v>45656</v>
      </c>
      <c r="C737" s="9" t="s">
        <v>28</v>
      </c>
      <c r="D737" s="9" t="s">
        <v>8</v>
      </c>
      <c r="E737" s="11" t="s">
        <v>29</v>
      </c>
      <c r="F737" s="10"/>
      <c r="G737" s="10">
        <v>2</v>
      </c>
      <c r="H737" s="10" t="s">
        <v>10</v>
      </c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4.25" customHeight="1" x14ac:dyDescent="0.3">
      <c r="A738" s="8"/>
      <c r="B738" s="38">
        <v>45656</v>
      </c>
      <c r="C738" s="9" t="s">
        <v>7</v>
      </c>
      <c r="D738" s="9" t="s">
        <v>8</v>
      </c>
      <c r="E738" s="11" t="s">
        <v>9</v>
      </c>
      <c r="F738" s="10"/>
      <c r="G738" s="10">
        <v>1</v>
      </c>
      <c r="H738" s="10" t="s">
        <v>10</v>
      </c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4.25" customHeight="1" x14ac:dyDescent="0.3">
      <c r="A739" s="8"/>
      <c r="B739" s="38">
        <v>45656</v>
      </c>
      <c r="C739" s="9" t="s">
        <v>75</v>
      </c>
      <c r="D739" s="9" t="s">
        <v>8</v>
      </c>
      <c r="E739" s="11" t="s">
        <v>76</v>
      </c>
      <c r="F739" s="10"/>
      <c r="G739" s="10">
        <v>1</v>
      </c>
      <c r="H739" s="10" t="s">
        <v>10</v>
      </c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4.25" customHeight="1" x14ac:dyDescent="0.3">
      <c r="A740" s="8"/>
      <c r="B740" s="38">
        <v>45656</v>
      </c>
      <c r="C740" s="9" t="s">
        <v>114</v>
      </c>
      <c r="D740" s="9" t="s">
        <v>12</v>
      </c>
      <c r="E740" s="11" t="s">
        <v>23</v>
      </c>
      <c r="F740" s="10">
        <v>22</v>
      </c>
      <c r="G740" s="10"/>
      <c r="H740" s="10" t="s">
        <v>18</v>
      </c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4.25" customHeight="1" x14ac:dyDescent="0.3">
      <c r="A741" s="8"/>
      <c r="B741" s="38">
        <v>45656</v>
      </c>
      <c r="C741" s="20" t="s">
        <v>189</v>
      </c>
      <c r="D741" s="9" t="s">
        <v>12</v>
      </c>
      <c r="E741" s="11" t="s">
        <v>92</v>
      </c>
      <c r="F741" s="10"/>
      <c r="G741" s="10">
        <f>180-108</f>
        <v>72</v>
      </c>
      <c r="H741" s="10" t="s">
        <v>10</v>
      </c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4.25" customHeight="1" x14ac:dyDescent="0.3">
      <c r="A742" s="8"/>
      <c r="B742" s="38">
        <v>45656</v>
      </c>
      <c r="C742" s="9" t="s">
        <v>43</v>
      </c>
      <c r="D742" s="9" t="s">
        <v>20</v>
      </c>
      <c r="E742" s="11" t="s">
        <v>44</v>
      </c>
      <c r="F742" s="10"/>
      <c r="G742" s="10">
        <v>18.899999999999999</v>
      </c>
      <c r="H742" s="10" t="s">
        <v>10</v>
      </c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4.25" customHeight="1" x14ac:dyDescent="0.3">
      <c r="A743" s="8"/>
      <c r="B743" s="38">
        <v>45656</v>
      </c>
      <c r="C743" s="9" t="s">
        <v>77</v>
      </c>
      <c r="D743" s="9" t="s">
        <v>20</v>
      </c>
      <c r="E743" s="11" t="s">
        <v>78</v>
      </c>
      <c r="F743" s="10"/>
      <c r="G743" s="10">
        <f>5.6-4.3</f>
        <v>1.2999999999999998</v>
      </c>
      <c r="H743" s="10" t="s">
        <v>10</v>
      </c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4.25" customHeight="1" x14ac:dyDescent="0.3">
      <c r="A744" s="8"/>
      <c r="B744" s="38">
        <v>45656</v>
      </c>
      <c r="C744" s="9" t="s">
        <v>73</v>
      </c>
      <c r="D744" s="9" t="s">
        <v>71</v>
      </c>
      <c r="E744" s="11" t="s">
        <v>74</v>
      </c>
      <c r="F744" s="10"/>
      <c r="G744" s="10">
        <v>3</v>
      </c>
      <c r="H744" s="10" t="s">
        <v>10</v>
      </c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4.25" customHeight="1" x14ac:dyDescent="0.3">
      <c r="A745" s="8"/>
      <c r="B745" s="38">
        <v>45656</v>
      </c>
      <c r="C745" s="9" t="s">
        <v>39</v>
      </c>
      <c r="D745" s="9" t="s">
        <v>20</v>
      </c>
      <c r="E745" s="11" t="s">
        <v>40</v>
      </c>
      <c r="F745" s="10"/>
      <c r="G745" s="10">
        <v>24</v>
      </c>
      <c r="H745" s="10" t="s">
        <v>10</v>
      </c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4.25" customHeight="1" x14ac:dyDescent="0.3">
      <c r="A746" s="8"/>
      <c r="B746" s="38">
        <v>45656</v>
      </c>
      <c r="C746" s="9" t="s">
        <v>41</v>
      </c>
      <c r="D746" s="9" t="s">
        <v>20</v>
      </c>
      <c r="E746" s="11" t="s">
        <v>42</v>
      </c>
      <c r="F746" s="10"/>
      <c r="G746" s="10">
        <v>30.2</v>
      </c>
      <c r="H746" s="10" t="s">
        <v>10</v>
      </c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4.25" customHeight="1" x14ac:dyDescent="0.3">
      <c r="A747" s="8"/>
      <c r="B747" s="38">
        <v>45656</v>
      </c>
      <c r="C747" s="9" t="s">
        <v>51</v>
      </c>
      <c r="D747" s="9" t="s">
        <v>20</v>
      </c>
      <c r="E747" s="11" t="s">
        <v>52</v>
      </c>
      <c r="F747" s="10"/>
      <c r="G747" s="10">
        <f>12.1-1.7</f>
        <v>10.4</v>
      </c>
      <c r="H747" s="10" t="s">
        <v>10</v>
      </c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4.25" customHeight="1" x14ac:dyDescent="0.3">
      <c r="A748" s="8"/>
      <c r="B748" s="38">
        <v>45656</v>
      </c>
      <c r="C748" s="9" t="s">
        <v>80</v>
      </c>
      <c r="D748" s="9" t="s">
        <v>71</v>
      </c>
      <c r="E748" s="11" t="s">
        <v>81</v>
      </c>
      <c r="F748" s="10"/>
      <c r="G748" s="10">
        <v>1</v>
      </c>
      <c r="H748" s="10" t="s">
        <v>10</v>
      </c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4.25" customHeight="1" x14ac:dyDescent="0.3">
      <c r="A749" s="8"/>
      <c r="B749" s="38">
        <v>45656</v>
      </c>
      <c r="C749" s="9" t="s">
        <v>70</v>
      </c>
      <c r="D749" s="9" t="s">
        <v>71</v>
      </c>
      <c r="E749" s="11" t="s">
        <v>72</v>
      </c>
      <c r="F749" s="10"/>
      <c r="G749" s="10">
        <v>2</v>
      </c>
      <c r="H749" s="10" t="s">
        <v>10</v>
      </c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4.25" customHeight="1" x14ac:dyDescent="0.3">
      <c r="A750" s="8"/>
      <c r="B750" s="38">
        <v>45656</v>
      </c>
      <c r="C750" s="9" t="s">
        <v>53</v>
      </c>
      <c r="D750" s="9" t="s">
        <v>12</v>
      </c>
      <c r="E750" s="11" t="s">
        <v>54</v>
      </c>
      <c r="F750" s="10"/>
      <c r="G750" s="10">
        <v>72</v>
      </c>
      <c r="H750" s="10" t="s">
        <v>10</v>
      </c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4.25" customHeight="1" x14ac:dyDescent="0.3">
      <c r="A751" s="8"/>
      <c r="B751" s="38">
        <v>45656</v>
      </c>
      <c r="C751" s="9" t="s">
        <v>68</v>
      </c>
      <c r="D751" s="9" t="s">
        <v>12</v>
      </c>
      <c r="E751" s="11" t="s">
        <v>69</v>
      </c>
      <c r="F751" s="10"/>
      <c r="G751" s="10">
        <f>26-8</f>
        <v>18</v>
      </c>
      <c r="H751" s="10" t="s">
        <v>10</v>
      </c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4.25" customHeight="1" x14ac:dyDescent="0.3">
      <c r="A752" s="8"/>
      <c r="B752" s="38">
        <v>45656</v>
      </c>
      <c r="C752" s="9" t="s">
        <v>57</v>
      </c>
      <c r="D752" s="9" t="s">
        <v>12</v>
      </c>
      <c r="E752" s="11" t="s">
        <v>58</v>
      </c>
      <c r="F752" s="10"/>
      <c r="G752" s="10">
        <v>64</v>
      </c>
      <c r="H752" s="10" t="s">
        <v>10</v>
      </c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4.25" customHeight="1" x14ac:dyDescent="0.3">
      <c r="A753" s="8"/>
      <c r="B753" s="38">
        <v>45656</v>
      </c>
      <c r="C753" s="14" t="s">
        <v>126</v>
      </c>
      <c r="D753" s="9" t="s">
        <v>12</v>
      </c>
      <c r="E753" s="11" t="s">
        <v>97</v>
      </c>
      <c r="F753" s="10"/>
      <c r="G753" s="10">
        <v>34</v>
      </c>
      <c r="H753" s="10" t="s">
        <v>10</v>
      </c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4.25" customHeight="1" x14ac:dyDescent="0.3">
      <c r="A754" s="8"/>
      <c r="B754" s="38">
        <v>45656</v>
      </c>
      <c r="C754" s="39" t="s">
        <v>90</v>
      </c>
      <c r="D754" s="9" t="s">
        <v>20</v>
      </c>
      <c r="E754" s="11" t="s">
        <v>91</v>
      </c>
      <c r="F754" s="10"/>
      <c r="G754" s="10">
        <v>6</v>
      </c>
      <c r="H754" s="10" t="s">
        <v>10</v>
      </c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4.25" customHeight="1" x14ac:dyDescent="0.3">
      <c r="A755" s="8"/>
      <c r="B755" s="38">
        <v>45656</v>
      </c>
      <c r="C755" s="18" t="s">
        <v>108</v>
      </c>
      <c r="D755" s="9" t="s">
        <v>12</v>
      </c>
      <c r="E755" s="11" t="s">
        <v>109</v>
      </c>
      <c r="F755" s="10"/>
      <c r="G755" s="10">
        <v>2</v>
      </c>
      <c r="H755" s="10" t="s">
        <v>10</v>
      </c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4.25" customHeight="1" x14ac:dyDescent="0.3">
      <c r="A756" s="8"/>
      <c r="B756" s="38">
        <v>45656</v>
      </c>
      <c r="C756" s="14" t="s">
        <v>110</v>
      </c>
      <c r="D756" s="9" t="s">
        <v>12</v>
      </c>
      <c r="E756" s="11" t="s">
        <v>111</v>
      </c>
      <c r="F756" s="10"/>
      <c r="G756" s="10">
        <v>48</v>
      </c>
      <c r="H756" s="10" t="s">
        <v>10</v>
      </c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4.25" customHeight="1" x14ac:dyDescent="0.3">
      <c r="A757" s="8"/>
      <c r="B757" s="38">
        <v>45656</v>
      </c>
      <c r="C757" s="18" t="s">
        <v>115</v>
      </c>
      <c r="D757" s="9" t="s">
        <v>12</v>
      </c>
      <c r="E757" s="11" t="s">
        <v>116</v>
      </c>
      <c r="F757" s="10"/>
      <c r="G757" s="10">
        <v>4</v>
      </c>
      <c r="H757" s="10" t="s">
        <v>10</v>
      </c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4.25" customHeight="1" x14ac:dyDescent="0.3">
      <c r="A758" s="8"/>
      <c r="B758" s="38">
        <v>45656</v>
      </c>
      <c r="C758" s="18" t="s">
        <v>131</v>
      </c>
      <c r="D758" s="9" t="s">
        <v>20</v>
      </c>
      <c r="E758" s="11" t="s">
        <v>132</v>
      </c>
      <c r="F758" s="10"/>
      <c r="G758" s="10">
        <v>20</v>
      </c>
      <c r="H758" s="10" t="s">
        <v>10</v>
      </c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4.25" customHeight="1" x14ac:dyDescent="0.3">
      <c r="A759" s="8"/>
      <c r="B759" s="38">
        <v>45657</v>
      </c>
      <c r="C759" s="9" t="s">
        <v>28</v>
      </c>
      <c r="D759" s="9" t="s">
        <v>8</v>
      </c>
      <c r="E759" s="11" t="s">
        <v>29</v>
      </c>
      <c r="F759" s="10">
        <v>3</v>
      </c>
      <c r="G759" s="10"/>
      <c r="H759" s="10" t="s">
        <v>18</v>
      </c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4.25" customHeight="1" x14ac:dyDescent="0.3">
      <c r="A760" s="8"/>
      <c r="B760" s="38">
        <v>45657</v>
      </c>
      <c r="C760" s="9" t="s">
        <v>7</v>
      </c>
      <c r="D760" s="9" t="s">
        <v>8</v>
      </c>
      <c r="E760" s="11" t="s">
        <v>9</v>
      </c>
      <c r="F760" s="10">
        <v>3</v>
      </c>
      <c r="G760" s="10"/>
      <c r="H760" s="10" t="s">
        <v>18</v>
      </c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4.25" customHeight="1" x14ac:dyDescent="0.3">
      <c r="A761" s="8"/>
      <c r="B761" s="38">
        <v>45657</v>
      </c>
      <c r="C761" s="9" t="s">
        <v>75</v>
      </c>
      <c r="D761" s="9" t="s">
        <v>8</v>
      </c>
      <c r="E761" s="11" t="s">
        <v>76</v>
      </c>
      <c r="F761" s="10">
        <v>1</v>
      </c>
      <c r="G761" s="10"/>
      <c r="H761" s="10" t="s">
        <v>18</v>
      </c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4.25" customHeight="1" x14ac:dyDescent="0.3">
      <c r="A762" s="8"/>
      <c r="B762" s="38">
        <v>45657</v>
      </c>
      <c r="C762" s="9" t="s">
        <v>30</v>
      </c>
      <c r="D762" s="9" t="s">
        <v>8</v>
      </c>
      <c r="E762" s="11" t="s">
        <v>31</v>
      </c>
      <c r="F762" s="10">
        <v>1</v>
      </c>
      <c r="G762" s="10"/>
      <c r="H762" s="10" t="s">
        <v>18</v>
      </c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4.25" customHeight="1" x14ac:dyDescent="0.3">
      <c r="A763" s="8"/>
      <c r="B763" s="38">
        <v>45657</v>
      </c>
      <c r="C763" s="26" t="s">
        <v>101</v>
      </c>
      <c r="D763" s="9" t="s">
        <v>8</v>
      </c>
      <c r="E763" s="11" t="s">
        <v>102</v>
      </c>
      <c r="F763" s="10">
        <v>1</v>
      </c>
      <c r="G763" s="10"/>
      <c r="H763" s="10" t="s">
        <v>18</v>
      </c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4.25" customHeight="1" x14ac:dyDescent="0.3">
      <c r="A764" s="8"/>
      <c r="B764" s="38">
        <v>45657</v>
      </c>
      <c r="C764" s="14" t="s">
        <v>61</v>
      </c>
      <c r="D764" s="9" t="s">
        <v>20</v>
      </c>
      <c r="E764" s="11" t="s">
        <v>62</v>
      </c>
      <c r="F764" s="10">
        <v>5</v>
      </c>
      <c r="G764" s="10"/>
      <c r="H764" s="10" t="s">
        <v>18</v>
      </c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4.25" customHeight="1" x14ac:dyDescent="0.3">
      <c r="A765" s="8"/>
      <c r="B765" s="38">
        <v>45657</v>
      </c>
      <c r="C765" s="9" t="s">
        <v>39</v>
      </c>
      <c r="D765" s="9" t="s">
        <v>20</v>
      </c>
      <c r="E765" s="11" t="s">
        <v>40</v>
      </c>
      <c r="F765" s="10">
        <v>7.5</v>
      </c>
      <c r="G765" s="10"/>
      <c r="H765" s="10" t="s">
        <v>18</v>
      </c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4.25" customHeight="1" x14ac:dyDescent="0.3">
      <c r="A766" s="8"/>
      <c r="B766" s="38">
        <v>45657</v>
      </c>
      <c r="C766" s="9" t="s">
        <v>41</v>
      </c>
      <c r="D766" s="9" t="s">
        <v>20</v>
      </c>
      <c r="E766" s="11" t="s">
        <v>42</v>
      </c>
      <c r="F766" s="10">
        <v>7.5</v>
      </c>
      <c r="G766" s="10"/>
      <c r="H766" s="10" t="s">
        <v>18</v>
      </c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4.25" customHeight="1" x14ac:dyDescent="0.3">
      <c r="A767" s="8"/>
      <c r="B767" s="38">
        <v>45657</v>
      </c>
      <c r="C767" s="42" t="s">
        <v>106</v>
      </c>
      <c r="D767" s="25" t="s">
        <v>33</v>
      </c>
      <c r="E767" s="11" t="s">
        <v>107</v>
      </c>
      <c r="F767" s="10">
        <v>10</v>
      </c>
      <c r="G767" s="10"/>
      <c r="H767" s="10" t="s">
        <v>18</v>
      </c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4.25" customHeight="1" x14ac:dyDescent="0.3">
      <c r="A768" s="8"/>
      <c r="B768" s="38">
        <v>45657</v>
      </c>
      <c r="C768" s="9" t="s">
        <v>7</v>
      </c>
      <c r="D768" s="9" t="s">
        <v>8</v>
      </c>
      <c r="E768" s="11" t="s">
        <v>9</v>
      </c>
      <c r="F768" s="10"/>
      <c r="G768" s="10">
        <v>1</v>
      </c>
      <c r="H768" s="10" t="s">
        <v>10</v>
      </c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4.25" customHeight="1" x14ac:dyDescent="0.3">
      <c r="A769" s="8"/>
      <c r="B769" s="38">
        <v>45657</v>
      </c>
      <c r="C769" s="26" t="s">
        <v>101</v>
      </c>
      <c r="D769" s="9" t="s">
        <v>8</v>
      </c>
      <c r="E769" s="11" t="s">
        <v>102</v>
      </c>
      <c r="F769" s="10"/>
      <c r="G769" s="10">
        <v>1</v>
      </c>
      <c r="H769" s="10" t="s">
        <v>10</v>
      </c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4.25" customHeight="1" x14ac:dyDescent="0.3">
      <c r="A770" s="8"/>
      <c r="B770" s="38">
        <v>45657</v>
      </c>
      <c r="C770" s="9" t="s">
        <v>30</v>
      </c>
      <c r="D770" s="9" t="s">
        <v>8</v>
      </c>
      <c r="E770" s="11" t="s">
        <v>31</v>
      </c>
      <c r="F770" s="10"/>
      <c r="G770" s="10">
        <v>1</v>
      </c>
      <c r="H770" s="10" t="s">
        <v>10</v>
      </c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4.25" customHeight="1" x14ac:dyDescent="0.3">
      <c r="A771" s="8"/>
      <c r="B771" s="38">
        <v>45658</v>
      </c>
      <c r="C771" s="9" t="s">
        <v>28</v>
      </c>
      <c r="D771" s="9" t="s">
        <v>8</v>
      </c>
      <c r="E771" s="11" t="s">
        <v>29</v>
      </c>
      <c r="F771" s="10"/>
      <c r="G771" s="10">
        <v>2</v>
      </c>
      <c r="H771" s="10" t="s">
        <v>10</v>
      </c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4.25" customHeight="1" x14ac:dyDescent="0.3">
      <c r="A772" s="8"/>
      <c r="B772" s="38">
        <v>45658</v>
      </c>
      <c r="C772" s="9" t="s">
        <v>7</v>
      </c>
      <c r="D772" s="9" t="s">
        <v>8</v>
      </c>
      <c r="E772" s="11" t="s">
        <v>9</v>
      </c>
      <c r="F772" s="10"/>
      <c r="G772" s="10">
        <v>1</v>
      </c>
      <c r="H772" s="10" t="s">
        <v>10</v>
      </c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4.25" customHeight="1" x14ac:dyDescent="0.3">
      <c r="A773" s="8"/>
      <c r="B773" s="38">
        <v>45659</v>
      </c>
      <c r="C773" s="9" t="s">
        <v>30</v>
      </c>
      <c r="D773" s="9" t="s">
        <v>8</v>
      </c>
      <c r="E773" s="11" t="s">
        <v>31</v>
      </c>
      <c r="F773" s="10">
        <v>1</v>
      </c>
      <c r="G773" s="10"/>
      <c r="H773" s="10" t="s">
        <v>18</v>
      </c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4.25" customHeight="1" x14ac:dyDescent="0.3">
      <c r="A774" s="8"/>
      <c r="B774" s="38">
        <v>45659</v>
      </c>
      <c r="C774" s="26" t="s">
        <v>87</v>
      </c>
      <c r="D774" s="9" t="s">
        <v>20</v>
      </c>
      <c r="E774" s="11" t="s">
        <v>88</v>
      </c>
      <c r="F774" s="10">
        <v>10</v>
      </c>
      <c r="G774" s="10"/>
      <c r="H774" s="10" t="s">
        <v>18</v>
      </c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4.25" customHeight="1" x14ac:dyDescent="0.3">
      <c r="A775" s="8"/>
      <c r="B775" s="38">
        <v>45659</v>
      </c>
      <c r="C775" s="39" t="s">
        <v>90</v>
      </c>
      <c r="D775" s="9" t="s">
        <v>20</v>
      </c>
      <c r="E775" s="11" t="s">
        <v>91</v>
      </c>
      <c r="F775" s="10">
        <v>10</v>
      </c>
      <c r="G775" s="10"/>
      <c r="H775" s="10" t="s">
        <v>18</v>
      </c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4.25" customHeight="1" x14ac:dyDescent="0.3">
      <c r="A776" s="8"/>
      <c r="B776" s="38">
        <v>45659</v>
      </c>
      <c r="C776" s="14" t="s">
        <v>110</v>
      </c>
      <c r="D776" s="9" t="s">
        <v>12</v>
      </c>
      <c r="E776" s="11" t="s">
        <v>111</v>
      </c>
      <c r="F776" s="10">
        <v>24</v>
      </c>
      <c r="G776" s="10"/>
      <c r="H776" s="10" t="s">
        <v>18</v>
      </c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4.25" customHeight="1" x14ac:dyDescent="0.3">
      <c r="A777" s="8"/>
      <c r="B777" s="38">
        <v>45659</v>
      </c>
      <c r="C777" s="9" t="s">
        <v>114</v>
      </c>
      <c r="D777" s="9" t="s">
        <v>12</v>
      </c>
      <c r="E777" s="11" t="s">
        <v>23</v>
      </c>
      <c r="F777" s="10"/>
      <c r="G777" s="10">
        <v>22</v>
      </c>
      <c r="H777" s="10" t="s">
        <v>10</v>
      </c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4.25" customHeight="1" x14ac:dyDescent="0.3">
      <c r="A778" s="8"/>
      <c r="B778" s="38">
        <v>45659</v>
      </c>
      <c r="C778" s="20" t="s">
        <v>189</v>
      </c>
      <c r="D778" s="9" t="s">
        <v>12</v>
      </c>
      <c r="E778" s="11" t="s">
        <v>92</v>
      </c>
      <c r="F778" s="10"/>
      <c r="G778" s="10">
        <v>9</v>
      </c>
      <c r="H778" s="10" t="s">
        <v>10</v>
      </c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4.25" customHeight="1" x14ac:dyDescent="0.3">
      <c r="A779" s="8"/>
      <c r="B779" s="38">
        <v>45659</v>
      </c>
      <c r="C779" s="9" t="s">
        <v>43</v>
      </c>
      <c r="D779" s="9" t="s">
        <v>20</v>
      </c>
      <c r="E779" s="11" t="s">
        <v>44</v>
      </c>
      <c r="F779" s="10"/>
      <c r="G779" s="10">
        <v>2</v>
      </c>
      <c r="H779" s="10" t="s">
        <v>10</v>
      </c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4.25" customHeight="1" x14ac:dyDescent="0.3">
      <c r="A780" s="8"/>
      <c r="B780" s="38">
        <v>45659</v>
      </c>
      <c r="C780" s="9" t="s">
        <v>77</v>
      </c>
      <c r="D780" s="9" t="s">
        <v>20</v>
      </c>
      <c r="E780" s="11" t="s">
        <v>78</v>
      </c>
      <c r="F780" s="10"/>
      <c r="G780" s="10">
        <f>4.3-3.7</f>
        <v>0.59999999999999964</v>
      </c>
      <c r="H780" s="10" t="s">
        <v>10</v>
      </c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4.25" customHeight="1" x14ac:dyDescent="0.3">
      <c r="A781" s="8"/>
      <c r="B781" s="38">
        <v>45659</v>
      </c>
      <c r="C781" s="9" t="s">
        <v>73</v>
      </c>
      <c r="D781" s="9" t="s">
        <v>71</v>
      </c>
      <c r="E781" s="11" t="s">
        <v>74</v>
      </c>
      <c r="F781" s="10"/>
      <c r="G781" s="10">
        <v>1</v>
      </c>
      <c r="H781" s="10" t="s">
        <v>10</v>
      </c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4.25" customHeight="1" x14ac:dyDescent="0.3">
      <c r="A782" s="8"/>
      <c r="B782" s="38">
        <v>45659</v>
      </c>
      <c r="C782" s="9" t="s">
        <v>39</v>
      </c>
      <c r="D782" s="9" t="s">
        <v>20</v>
      </c>
      <c r="E782" s="11" t="s">
        <v>40</v>
      </c>
      <c r="F782" s="10"/>
      <c r="G782" s="10">
        <v>6</v>
      </c>
      <c r="H782" s="10" t="s">
        <v>10</v>
      </c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4.25" customHeight="1" x14ac:dyDescent="0.3">
      <c r="A783" s="8"/>
      <c r="B783" s="38">
        <v>45659</v>
      </c>
      <c r="C783" s="9" t="s">
        <v>41</v>
      </c>
      <c r="D783" s="9" t="s">
        <v>20</v>
      </c>
      <c r="E783" s="11" t="s">
        <v>42</v>
      </c>
      <c r="F783" s="10"/>
      <c r="G783" s="10">
        <v>5.5</v>
      </c>
      <c r="H783" s="10" t="s">
        <v>10</v>
      </c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4.25" customHeight="1" x14ac:dyDescent="0.3">
      <c r="A784" s="8"/>
      <c r="B784" s="38">
        <v>45659</v>
      </c>
      <c r="C784" s="9" t="s">
        <v>51</v>
      </c>
      <c r="D784" s="9" t="s">
        <v>20</v>
      </c>
      <c r="E784" s="11" t="s">
        <v>52</v>
      </c>
      <c r="F784" s="10">
        <v>2</v>
      </c>
      <c r="G784" s="10"/>
      <c r="H784" s="10" t="s">
        <v>10</v>
      </c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4.25" customHeight="1" x14ac:dyDescent="0.3">
      <c r="A785" s="8"/>
      <c r="B785" s="38">
        <v>45659</v>
      </c>
      <c r="C785" s="9" t="s">
        <v>80</v>
      </c>
      <c r="D785" s="9" t="s">
        <v>12</v>
      </c>
      <c r="E785" s="11" t="s">
        <v>81</v>
      </c>
      <c r="F785" s="10"/>
      <c r="G785" s="10">
        <v>1</v>
      </c>
      <c r="H785" s="10" t="s">
        <v>10</v>
      </c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4.25" customHeight="1" x14ac:dyDescent="0.3">
      <c r="A786" s="8"/>
      <c r="B786" s="38">
        <v>45659</v>
      </c>
      <c r="C786" s="9" t="s">
        <v>45</v>
      </c>
      <c r="D786" s="9" t="s">
        <v>12</v>
      </c>
      <c r="E786" s="11" t="s">
        <v>59</v>
      </c>
      <c r="F786" s="10"/>
      <c r="G786" s="10">
        <v>80</v>
      </c>
      <c r="H786" s="10" t="s">
        <v>10</v>
      </c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4.25" customHeight="1" x14ac:dyDescent="0.3">
      <c r="A787" s="8"/>
      <c r="B787" s="38">
        <v>45659</v>
      </c>
      <c r="C787" s="9" t="s">
        <v>11</v>
      </c>
      <c r="D787" s="9" t="s">
        <v>12</v>
      </c>
      <c r="E787" s="11" t="s">
        <v>13</v>
      </c>
      <c r="F787" s="10"/>
      <c r="G787" s="10">
        <v>24</v>
      </c>
      <c r="H787" s="10" t="s">
        <v>10</v>
      </c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4.25" customHeight="1" x14ac:dyDescent="0.3">
      <c r="A788" s="8"/>
      <c r="B788" s="38">
        <v>45659</v>
      </c>
      <c r="C788" s="9" t="s">
        <v>61</v>
      </c>
      <c r="D788" s="9" t="s">
        <v>20</v>
      </c>
      <c r="E788" s="11" t="s">
        <v>62</v>
      </c>
      <c r="F788" s="10"/>
      <c r="G788" s="10">
        <v>10</v>
      </c>
      <c r="H788" s="10" t="s">
        <v>10</v>
      </c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4.25" customHeight="1" x14ac:dyDescent="0.3">
      <c r="A789" s="8"/>
      <c r="B789" s="38">
        <v>45659</v>
      </c>
      <c r="C789" s="18" t="s">
        <v>115</v>
      </c>
      <c r="D789" s="9" t="s">
        <v>12</v>
      </c>
      <c r="E789" s="18" t="s">
        <v>116</v>
      </c>
      <c r="F789" s="10"/>
      <c r="G789" s="10">
        <v>2</v>
      </c>
      <c r="H789" s="10" t="s">
        <v>10</v>
      </c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4.25" customHeight="1" x14ac:dyDescent="0.3">
      <c r="A790" s="8"/>
      <c r="B790" s="38">
        <v>45659</v>
      </c>
      <c r="C790" s="9" t="s">
        <v>28</v>
      </c>
      <c r="D790" s="9" t="s">
        <v>8</v>
      </c>
      <c r="E790" s="11" t="s">
        <v>29</v>
      </c>
      <c r="F790" s="10"/>
      <c r="G790" s="10">
        <v>1</v>
      </c>
      <c r="H790" s="10" t="s">
        <v>10</v>
      </c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4.25" customHeight="1" x14ac:dyDescent="0.3">
      <c r="A791" s="8"/>
      <c r="B791" s="38">
        <v>45659</v>
      </c>
      <c r="C791" s="9" t="s">
        <v>7</v>
      </c>
      <c r="D791" s="9" t="s">
        <v>8</v>
      </c>
      <c r="E791" s="11" t="s">
        <v>9</v>
      </c>
      <c r="F791" s="10"/>
      <c r="G791" s="10">
        <v>1</v>
      </c>
      <c r="H791" s="10" t="s">
        <v>10</v>
      </c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4.25" customHeight="1" x14ac:dyDescent="0.3">
      <c r="A792" s="8"/>
      <c r="B792" s="38">
        <v>45660</v>
      </c>
      <c r="C792" s="9" t="s">
        <v>11</v>
      </c>
      <c r="D792" s="9" t="s">
        <v>12</v>
      </c>
      <c r="E792" s="11" t="s">
        <v>13</v>
      </c>
      <c r="F792" s="10">
        <v>40</v>
      </c>
      <c r="G792" s="10"/>
      <c r="H792" s="10" t="s">
        <v>18</v>
      </c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4.25" customHeight="1" x14ac:dyDescent="0.3">
      <c r="A793" s="8"/>
      <c r="B793" s="38">
        <v>45660</v>
      </c>
      <c r="C793" s="14" t="s">
        <v>110</v>
      </c>
      <c r="D793" s="9" t="s">
        <v>12</v>
      </c>
      <c r="E793" s="18" t="s">
        <v>111</v>
      </c>
      <c r="F793" s="10">
        <v>20</v>
      </c>
      <c r="G793" s="10"/>
      <c r="H793" s="10" t="s">
        <v>18</v>
      </c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4.25" customHeight="1" x14ac:dyDescent="0.3">
      <c r="A794" s="8"/>
      <c r="B794" s="38">
        <v>45660</v>
      </c>
      <c r="C794" s="9" t="s">
        <v>28</v>
      </c>
      <c r="D794" s="9" t="s">
        <v>8</v>
      </c>
      <c r="E794" s="11" t="s">
        <v>29</v>
      </c>
      <c r="F794" s="10">
        <v>3</v>
      </c>
      <c r="G794" s="10"/>
      <c r="H794" s="10" t="s">
        <v>18</v>
      </c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4.25" customHeight="1" x14ac:dyDescent="0.3">
      <c r="A795" s="8"/>
      <c r="B795" s="38">
        <v>45660</v>
      </c>
      <c r="C795" s="9" t="s">
        <v>7</v>
      </c>
      <c r="D795" s="9" t="s">
        <v>8</v>
      </c>
      <c r="E795" s="11" t="s">
        <v>9</v>
      </c>
      <c r="F795" s="10">
        <v>2</v>
      </c>
      <c r="G795" s="10"/>
      <c r="H795" s="10" t="s">
        <v>18</v>
      </c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4.25" customHeight="1" x14ac:dyDescent="0.3">
      <c r="A796" s="8"/>
      <c r="B796" s="38">
        <v>45660</v>
      </c>
      <c r="C796" s="9" t="s">
        <v>80</v>
      </c>
      <c r="D796" s="9" t="s">
        <v>12</v>
      </c>
      <c r="E796" s="11" t="s">
        <v>81</v>
      </c>
      <c r="F796" s="10">
        <v>3</v>
      </c>
      <c r="G796" s="10"/>
      <c r="H796" s="10" t="s">
        <v>18</v>
      </c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4.25" customHeight="1" x14ac:dyDescent="0.3">
      <c r="A797" s="8"/>
      <c r="B797" s="38">
        <v>45660</v>
      </c>
      <c r="C797" s="9" t="s">
        <v>28</v>
      </c>
      <c r="D797" s="9" t="s">
        <v>8</v>
      </c>
      <c r="E797" s="11" t="s">
        <v>29</v>
      </c>
      <c r="F797" s="10"/>
      <c r="G797" s="10">
        <v>1</v>
      </c>
      <c r="H797" s="10" t="s">
        <v>10</v>
      </c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4.25" customHeight="1" x14ac:dyDescent="0.3">
      <c r="A798" s="8"/>
      <c r="B798" s="38">
        <v>45660</v>
      </c>
      <c r="C798" s="9" t="s">
        <v>7</v>
      </c>
      <c r="D798" s="9" t="s">
        <v>8</v>
      </c>
      <c r="E798" s="11" t="s">
        <v>9</v>
      </c>
      <c r="F798" s="10"/>
      <c r="G798" s="10">
        <v>1</v>
      </c>
      <c r="H798" s="10" t="s">
        <v>10</v>
      </c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4.25" customHeight="1" x14ac:dyDescent="0.3">
      <c r="A799" s="8"/>
      <c r="B799" s="38">
        <v>45660</v>
      </c>
      <c r="C799" s="9" t="s">
        <v>30</v>
      </c>
      <c r="D799" s="9" t="s">
        <v>8</v>
      </c>
      <c r="E799" s="11" t="s">
        <v>31</v>
      </c>
      <c r="F799" s="10"/>
      <c r="G799" s="10">
        <v>1</v>
      </c>
      <c r="H799" s="10" t="s">
        <v>10</v>
      </c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4.25" customHeight="1" x14ac:dyDescent="0.3">
      <c r="A800" s="8"/>
      <c r="B800" s="38">
        <v>45660</v>
      </c>
      <c r="C800" s="9" t="s">
        <v>75</v>
      </c>
      <c r="D800" s="9" t="s">
        <v>8</v>
      </c>
      <c r="E800" s="11" t="s">
        <v>76</v>
      </c>
      <c r="F800" s="10"/>
      <c r="G800" s="10">
        <v>1</v>
      </c>
      <c r="H800" s="10" t="s">
        <v>10</v>
      </c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4.25" customHeight="1" x14ac:dyDescent="0.3">
      <c r="A801" s="8"/>
      <c r="B801" s="38">
        <v>45661</v>
      </c>
      <c r="C801" s="8" t="s">
        <v>93</v>
      </c>
      <c r="D801" s="18" t="s">
        <v>12</v>
      </c>
      <c r="E801" s="18" t="s">
        <v>94</v>
      </c>
      <c r="F801" s="10"/>
      <c r="G801" s="10">
        <v>10</v>
      </c>
      <c r="H801" s="10" t="s">
        <v>10</v>
      </c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4.25" customHeight="1" x14ac:dyDescent="0.3">
      <c r="A802" s="8"/>
      <c r="B802" s="38">
        <v>45661</v>
      </c>
      <c r="C802" s="9" t="s">
        <v>45</v>
      </c>
      <c r="D802" s="9" t="s">
        <v>12</v>
      </c>
      <c r="E802" s="11" t="s">
        <v>59</v>
      </c>
      <c r="F802" s="10"/>
      <c r="G802" s="10">
        <v>72</v>
      </c>
      <c r="H802" s="10" t="s">
        <v>10</v>
      </c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4.25" customHeight="1" x14ac:dyDescent="0.3">
      <c r="A803" s="8"/>
      <c r="B803" s="38">
        <v>45661</v>
      </c>
      <c r="C803" s="14" t="s">
        <v>55</v>
      </c>
      <c r="D803" s="18" t="s">
        <v>12</v>
      </c>
      <c r="E803" s="11" t="s">
        <v>56</v>
      </c>
      <c r="F803" s="10"/>
      <c r="G803" s="10">
        <v>30</v>
      </c>
      <c r="H803" s="10" t="s">
        <v>10</v>
      </c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4.25" customHeight="1" x14ac:dyDescent="0.3">
      <c r="A804" s="8"/>
      <c r="B804" s="38">
        <v>45661</v>
      </c>
      <c r="C804" s="9" t="s">
        <v>28</v>
      </c>
      <c r="D804" s="9" t="s">
        <v>8</v>
      </c>
      <c r="E804" s="11" t="s">
        <v>29</v>
      </c>
      <c r="F804" s="10"/>
      <c r="G804" s="10">
        <v>2</v>
      </c>
      <c r="H804" s="10" t="s">
        <v>10</v>
      </c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4.25" customHeight="1" x14ac:dyDescent="0.3">
      <c r="A805" s="8"/>
      <c r="B805" s="38">
        <v>45661</v>
      </c>
      <c r="C805" s="9" t="s">
        <v>7</v>
      </c>
      <c r="D805" s="9" t="s">
        <v>8</v>
      </c>
      <c r="E805" s="11" t="s">
        <v>9</v>
      </c>
      <c r="F805" s="10"/>
      <c r="G805" s="10">
        <v>1</v>
      </c>
      <c r="H805" s="10" t="s">
        <v>10</v>
      </c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4.25" customHeight="1" x14ac:dyDescent="0.3">
      <c r="A806" s="8"/>
      <c r="B806" s="38">
        <v>45662</v>
      </c>
      <c r="C806" s="9" t="s">
        <v>68</v>
      </c>
      <c r="D806" s="9" t="s">
        <v>12</v>
      </c>
      <c r="E806" s="11" t="s">
        <v>69</v>
      </c>
      <c r="F806" s="10">
        <v>8</v>
      </c>
      <c r="G806" s="10"/>
      <c r="H806" s="10" t="s">
        <v>18</v>
      </c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4.25" customHeight="1" x14ac:dyDescent="0.3">
      <c r="A807" s="8"/>
      <c r="B807" s="38">
        <v>45662</v>
      </c>
      <c r="C807" s="14" t="s">
        <v>110</v>
      </c>
      <c r="D807" s="9" t="s">
        <v>12</v>
      </c>
      <c r="E807" s="18" t="s">
        <v>111</v>
      </c>
      <c r="F807" s="10">
        <v>180</v>
      </c>
      <c r="G807" s="10"/>
      <c r="H807" s="10" t="s">
        <v>18</v>
      </c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4.25" customHeight="1" x14ac:dyDescent="0.3">
      <c r="A808" s="8"/>
      <c r="B808" s="38">
        <v>45662</v>
      </c>
      <c r="C808" s="9" t="s">
        <v>80</v>
      </c>
      <c r="D808" s="9" t="s">
        <v>12</v>
      </c>
      <c r="E808" s="11" t="s">
        <v>81</v>
      </c>
      <c r="F808" s="10">
        <v>3</v>
      </c>
      <c r="G808" s="10"/>
      <c r="H808" s="10" t="s">
        <v>18</v>
      </c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4.25" customHeight="1" x14ac:dyDescent="0.3">
      <c r="A809" s="8"/>
      <c r="B809" s="38">
        <v>45662</v>
      </c>
      <c r="C809" s="9" t="s">
        <v>43</v>
      </c>
      <c r="D809" s="9" t="s">
        <v>20</v>
      </c>
      <c r="E809" s="11" t="s">
        <v>44</v>
      </c>
      <c r="F809" s="10">
        <v>12.6</v>
      </c>
      <c r="G809" s="10"/>
      <c r="H809" s="10" t="s">
        <v>18</v>
      </c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4.25" customHeight="1" x14ac:dyDescent="0.3">
      <c r="A810" s="8"/>
      <c r="B810" s="38">
        <v>45662</v>
      </c>
      <c r="C810" s="9" t="s">
        <v>28</v>
      </c>
      <c r="D810" s="9" t="s">
        <v>8</v>
      </c>
      <c r="E810" s="11" t="s">
        <v>29</v>
      </c>
      <c r="F810" s="10">
        <v>3</v>
      </c>
      <c r="G810" s="10"/>
      <c r="H810" s="10" t="s">
        <v>18</v>
      </c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4.25" customHeight="1" x14ac:dyDescent="0.3">
      <c r="A811" s="8"/>
      <c r="B811" s="38">
        <v>45662</v>
      </c>
      <c r="C811" s="9" t="s">
        <v>7</v>
      </c>
      <c r="D811" s="9" t="s">
        <v>8</v>
      </c>
      <c r="E811" s="11" t="s">
        <v>9</v>
      </c>
      <c r="F811" s="10">
        <v>3</v>
      </c>
      <c r="G811" s="10"/>
      <c r="H811" s="10" t="s">
        <v>18</v>
      </c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4.25" customHeight="1" x14ac:dyDescent="0.3">
      <c r="A812" s="8"/>
      <c r="B812" s="38">
        <v>45662</v>
      </c>
      <c r="C812" s="9" t="s">
        <v>75</v>
      </c>
      <c r="D812" s="9" t="s">
        <v>8</v>
      </c>
      <c r="E812" s="11" t="s">
        <v>76</v>
      </c>
      <c r="F812" s="10">
        <v>1</v>
      </c>
      <c r="G812" s="10"/>
      <c r="H812" s="10" t="s">
        <v>18</v>
      </c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4.25" customHeight="1" x14ac:dyDescent="0.3">
      <c r="A813" s="8"/>
      <c r="B813" s="38">
        <v>45662</v>
      </c>
      <c r="C813" s="9" t="s">
        <v>30</v>
      </c>
      <c r="D813" s="9" t="s">
        <v>8</v>
      </c>
      <c r="E813" s="11" t="s">
        <v>31</v>
      </c>
      <c r="F813" s="10">
        <v>1</v>
      </c>
      <c r="G813" s="10"/>
      <c r="H813" s="10" t="s">
        <v>18</v>
      </c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4.25" customHeight="1" x14ac:dyDescent="0.3">
      <c r="A814" s="8"/>
      <c r="B814" s="38">
        <v>45662</v>
      </c>
      <c r="C814" s="26" t="s">
        <v>101</v>
      </c>
      <c r="D814" s="9" t="s">
        <v>8</v>
      </c>
      <c r="E814" s="11" t="s">
        <v>102</v>
      </c>
      <c r="F814" s="10">
        <v>1</v>
      </c>
      <c r="G814" s="10"/>
      <c r="H814" s="10" t="s">
        <v>18</v>
      </c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4.25" customHeight="1" x14ac:dyDescent="0.3">
      <c r="A815" s="8"/>
      <c r="B815" s="38">
        <v>45662</v>
      </c>
      <c r="C815" s="9" t="s">
        <v>28</v>
      </c>
      <c r="D815" s="9" t="s">
        <v>8</v>
      </c>
      <c r="E815" s="11" t="s">
        <v>29</v>
      </c>
      <c r="F815" s="10"/>
      <c r="G815" s="10">
        <v>2</v>
      </c>
      <c r="H815" s="10" t="s">
        <v>10</v>
      </c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4.25" customHeight="1" x14ac:dyDescent="0.3">
      <c r="A816" s="8"/>
      <c r="B816" s="38">
        <v>45662</v>
      </c>
      <c r="C816" s="9" t="s">
        <v>7</v>
      </c>
      <c r="D816" s="9" t="s">
        <v>8</v>
      </c>
      <c r="E816" s="11" t="s">
        <v>9</v>
      </c>
      <c r="F816" s="10"/>
      <c r="G816" s="10">
        <v>1</v>
      </c>
      <c r="H816" s="10" t="s">
        <v>10</v>
      </c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4.25" customHeight="1" x14ac:dyDescent="0.3">
      <c r="A817" s="8"/>
      <c r="B817" s="38">
        <v>45662</v>
      </c>
      <c r="C817" s="43" t="s">
        <v>30</v>
      </c>
      <c r="D817" s="40" t="s">
        <v>8</v>
      </c>
      <c r="E817" s="41" t="s">
        <v>31</v>
      </c>
      <c r="F817" s="10"/>
      <c r="G817" s="10">
        <v>1</v>
      </c>
      <c r="H817" s="10" t="s">
        <v>10</v>
      </c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4.25" customHeight="1" x14ac:dyDescent="0.3">
      <c r="A818" s="8"/>
      <c r="B818" s="38">
        <v>45662</v>
      </c>
      <c r="C818" s="32" t="s">
        <v>101</v>
      </c>
      <c r="D818" s="44" t="s">
        <v>8</v>
      </c>
      <c r="E818" s="46" t="s">
        <v>102</v>
      </c>
      <c r="F818" s="10"/>
      <c r="G818" s="10">
        <v>1</v>
      </c>
      <c r="H818" s="10" t="s">
        <v>10</v>
      </c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4.25" customHeight="1" x14ac:dyDescent="0.3">
      <c r="A819" s="8"/>
      <c r="B819" s="38">
        <v>45663</v>
      </c>
      <c r="C819" s="43" t="s">
        <v>30</v>
      </c>
      <c r="D819" s="40" t="s">
        <v>8</v>
      </c>
      <c r="E819" s="41" t="s">
        <v>31</v>
      </c>
      <c r="F819" s="10">
        <v>1</v>
      </c>
      <c r="G819" s="10"/>
      <c r="H819" s="10" t="s">
        <v>18</v>
      </c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4.25" customHeight="1" x14ac:dyDescent="0.3">
      <c r="A820" s="8"/>
      <c r="B820" s="38">
        <v>45663</v>
      </c>
      <c r="C820" s="9" t="s">
        <v>43</v>
      </c>
      <c r="D820" s="9" t="s">
        <v>20</v>
      </c>
      <c r="E820" s="11" t="s">
        <v>44</v>
      </c>
      <c r="F820" s="10"/>
      <c r="G820" s="10">
        <v>9</v>
      </c>
      <c r="H820" s="10" t="s">
        <v>10</v>
      </c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4.25" customHeight="1" x14ac:dyDescent="0.3">
      <c r="A821" s="8"/>
      <c r="B821" s="38">
        <v>45663</v>
      </c>
      <c r="C821" s="9" t="s">
        <v>73</v>
      </c>
      <c r="D821" s="9" t="s">
        <v>71</v>
      </c>
      <c r="E821" s="11" t="s">
        <v>74</v>
      </c>
      <c r="F821" s="10"/>
      <c r="G821" s="10">
        <v>2</v>
      </c>
      <c r="H821" s="10" t="s">
        <v>10</v>
      </c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4.25" customHeight="1" x14ac:dyDescent="0.3">
      <c r="A822" s="8"/>
      <c r="B822" s="38">
        <v>45663</v>
      </c>
      <c r="C822" s="9" t="s">
        <v>39</v>
      </c>
      <c r="D822" s="9" t="s">
        <v>20</v>
      </c>
      <c r="E822" s="11" t="s">
        <v>40</v>
      </c>
      <c r="F822" s="10">
        <v>10</v>
      </c>
      <c r="G822" s="10"/>
      <c r="H822" s="10" t="s">
        <v>18</v>
      </c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4.25" customHeight="1" x14ac:dyDescent="0.3">
      <c r="A823" s="8"/>
      <c r="B823" s="38">
        <v>45663</v>
      </c>
      <c r="C823" s="9" t="s">
        <v>41</v>
      </c>
      <c r="D823" s="9" t="s">
        <v>20</v>
      </c>
      <c r="E823" s="11" t="s">
        <v>42</v>
      </c>
      <c r="F823" s="10">
        <v>10</v>
      </c>
      <c r="G823" s="10"/>
      <c r="H823" s="10" t="s">
        <v>18</v>
      </c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4.25" customHeight="1" x14ac:dyDescent="0.3">
      <c r="A824" s="8"/>
      <c r="B824" s="38">
        <v>45663</v>
      </c>
      <c r="C824" s="9" t="s">
        <v>39</v>
      </c>
      <c r="D824" s="9" t="s">
        <v>20</v>
      </c>
      <c r="E824" s="11" t="s">
        <v>40</v>
      </c>
      <c r="F824" s="10"/>
      <c r="G824" s="10">
        <v>5</v>
      </c>
      <c r="H824" s="10" t="s">
        <v>10</v>
      </c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4.25" customHeight="1" x14ac:dyDescent="0.3">
      <c r="A825" s="8"/>
      <c r="B825" s="38">
        <v>45663</v>
      </c>
      <c r="C825" s="9" t="s">
        <v>41</v>
      </c>
      <c r="D825" s="9" t="s">
        <v>20</v>
      </c>
      <c r="E825" s="11" t="s">
        <v>42</v>
      </c>
      <c r="F825" s="10"/>
      <c r="G825" s="10">
        <v>2</v>
      </c>
      <c r="H825" s="10" t="s">
        <v>10</v>
      </c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4.25" customHeight="1" x14ac:dyDescent="0.3">
      <c r="A826" s="8"/>
      <c r="B826" s="38">
        <v>45663</v>
      </c>
      <c r="C826" s="9" t="s">
        <v>80</v>
      </c>
      <c r="D826" s="9" t="s">
        <v>12</v>
      </c>
      <c r="E826" s="11" t="s">
        <v>81</v>
      </c>
      <c r="F826" s="10"/>
      <c r="G826" s="10">
        <v>3</v>
      </c>
      <c r="H826" s="10" t="s">
        <v>10</v>
      </c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4.25" customHeight="1" x14ac:dyDescent="0.3">
      <c r="A827" s="8"/>
      <c r="B827" s="38">
        <v>45663</v>
      </c>
      <c r="C827" s="9" t="s">
        <v>70</v>
      </c>
      <c r="D827" s="9" t="s">
        <v>71</v>
      </c>
      <c r="E827" s="11" t="s">
        <v>72</v>
      </c>
      <c r="F827" s="10"/>
      <c r="G827" s="10">
        <v>2</v>
      </c>
      <c r="H827" s="10" t="s">
        <v>10</v>
      </c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4.25" customHeight="1" x14ac:dyDescent="0.3">
      <c r="A828" s="8"/>
      <c r="B828" s="38">
        <v>45663</v>
      </c>
      <c r="C828" s="9" t="s">
        <v>68</v>
      </c>
      <c r="D828" s="9" t="s">
        <v>12</v>
      </c>
      <c r="E828" s="11" t="s">
        <v>69</v>
      </c>
      <c r="F828" s="10"/>
      <c r="G828" s="10">
        <v>2</v>
      </c>
      <c r="H828" s="10" t="s">
        <v>10</v>
      </c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4.25" customHeight="1" x14ac:dyDescent="0.3">
      <c r="A829" s="8"/>
      <c r="B829" s="38">
        <v>45663</v>
      </c>
      <c r="C829" s="9" t="s">
        <v>127</v>
      </c>
      <c r="D829" s="9" t="s">
        <v>12</v>
      </c>
      <c r="E829" s="11" t="s">
        <v>99</v>
      </c>
      <c r="F829" s="10"/>
      <c r="G829" s="10">
        <v>2</v>
      </c>
      <c r="H829" s="10" t="s">
        <v>10</v>
      </c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4.25" customHeight="1" x14ac:dyDescent="0.3">
      <c r="A830" s="8"/>
      <c r="B830" s="38">
        <v>45663</v>
      </c>
      <c r="C830" s="9" t="s">
        <v>14</v>
      </c>
      <c r="D830" s="9" t="s">
        <v>12</v>
      </c>
      <c r="E830" s="11" t="s">
        <v>15</v>
      </c>
      <c r="F830" s="10"/>
      <c r="G830" s="10">
        <v>16</v>
      </c>
      <c r="H830" s="10" t="s">
        <v>10</v>
      </c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4.25" customHeight="1" x14ac:dyDescent="0.3">
      <c r="A831" s="8"/>
      <c r="B831" s="38">
        <v>45663</v>
      </c>
      <c r="C831" s="9" t="s">
        <v>11</v>
      </c>
      <c r="D831" s="9" t="s">
        <v>12</v>
      </c>
      <c r="E831" s="11" t="s">
        <v>13</v>
      </c>
      <c r="F831" s="10"/>
      <c r="G831" s="10">
        <v>40</v>
      </c>
      <c r="H831" s="10" t="s">
        <v>10</v>
      </c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4.25" customHeight="1" x14ac:dyDescent="0.3">
      <c r="A832" s="8"/>
      <c r="B832" s="38">
        <v>45663</v>
      </c>
      <c r="C832" s="39" t="s">
        <v>90</v>
      </c>
      <c r="D832" s="18" t="s">
        <v>20</v>
      </c>
      <c r="E832" s="18" t="s">
        <v>91</v>
      </c>
      <c r="F832" s="10"/>
      <c r="G832" s="10">
        <v>2</v>
      </c>
      <c r="H832" s="10" t="s">
        <v>10</v>
      </c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4.25" customHeight="1" x14ac:dyDescent="0.3">
      <c r="A833" s="8"/>
      <c r="B833" s="38">
        <v>45663</v>
      </c>
      <c r="C833" s="9" t="s">
        <v>95</v>
      </c>
      <c r="D833" s="9" t="s">
        <v>12</v>
      </c>
      <c r="E833" s="11" t="s">
        <v>96</v>
      </c>
      <c r="F833" s="10">
        <v>60</v>
      </c>
      <c r="G833" s="10"/>
      <c r="H833" s="10" t="s">
        <v>18</v>
      </c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4.25" customHeight="1" x14ac:dyDescent="0.3">
      <c r="A834" s="8"/>
      <c r="B834" s="38">
        <v>45663</v>
      </c>
      <c r="C834" s="14" t="s">
        <v>110</v>
      </c>
      <c r="D834" s="9" t="s">
        <v>12</v>
      </c>
      <c r="E834" s="11" t="s">
        <v>111</v>
      </c>
      <c r="F834" s="10"/>
      <c r="G834" s="10">
        <v>221</v>
      </c>
      <c r="H834" s="10" t="s">
        <v>10</v>
      </c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4.25" customHeight="1" x14ac:dyDescent="0.3">
      <c r="A835" s="8"/>
      <c r="B835" s="38">
        <v>45664</v>
      </c>
      <c r="C835" s="9" t="s">
        <v>7</v>
      </c>
      <c r="D835" s="9" t="s">
        <v>8</v>
      </c>
      <c r="E835" s="11" t="s">
        <v>9</v>
      </c>
      <c r="F835" s="10"/>
      <c r="G835" s="10">
        <v>1</v>
      </c>
      <c r="H835" s="10" t="s">
        <v>10</v>
      </c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4.25" customHeight="1" x14ac:dyDescent="0.3">
      <c r="A836" s="8"/>
      <c r="B836" s="38">
        <v>45664</v>
      </c>
      <c r="C836" s="9" t="s">
        <v>75</v>
      </c>
      <c r="D836" s="9" t="s">
        <v>8</v>
      </c>
      <c r="E836" s="11" t="s">
        <v>76</v>
      </c>
      <c r="F836" s="10"/>
      <c r="G836" s="10">
        <v>1</v>
      </c>
      <c r="H836" s="10" t="s">
        <v>10</v>
      </c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4.25" customHeight="1" x14ac:dyDescent="0.3">
      <c r="A837" s="8"/>
      <c r="B837" s="38">
        <v>45665</v>
      </c>
      <c r="C837" s="9" t="s">
        <v>39</v>
      </c>
      <c r="D837" s="9" t="s">
        <v>20</v>
      </c>
      <c r="E837" s="11" t="s">
        <v>40</v>
      </c>
      <c r="F837" s="10">
        <v>2.5</v>
      </c>
      <c r="G837" s="10"/>
      <c r="H837" s="10" t="s">
        <v>18</v>
      </c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4.25" customHeight="1" x14ac:dyDescent="0.3">
      <c r="A838" s="8"/>
      <c r="B838" s="38">
        <v>45665</v>
      </c>
      <c r="C838" s="9" t="s">
        <v>41</v>
      </c>
      <c r="D838" s="9" t="s">
        <v>20</v>
      </c>
      <c r="E838" s="11" t="s">
        <v>42</v>
      </c>
      <c r="F838" s="10">
        <v>2.5</v>
      </c>
      <c r="G838" s="10"/>
      <c r="H838" s="10" t="s">
        <v>18</v>
      </c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4.25" customHeight="1" x14ac:dyDescent="0.3">
      <c r="A839" s="8"/>
      <c r="B839" s="38">
        <v>45665</v>
      </c>
      <c r="C839" s="9" t="s">
        <v>134</v>
      </c>
      <c r="D839" s="9" t="s">
        <v>20</v>
      </c>
      <c r="E839" s="11" t="s">
        <v>135</v>
      </c>
      <c r="F839" s="10">
        <v>0.8</v>
      </c>
      <c r="G839" s="10"/>
      <c r="H839" s="10" t="s">
        <v>18</v>
      </c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4.25" customHeight="1" x14ac:dyDescent="0.3">
      <c r="A840" s="8"/>
      <c r="B840" s="38">
        <v>45665</v>
      </c>
      <c r="C840" s="9" t="s">
        <v>73</v>
      </c>
      <c r="D840" s="9" t="s">
        <v>71</v>
      </c>
      <c r="E840" s="11" t="s">
        <v>74</v>
      </c>
      <c r="F840" s="10">
        <v>3</v>
      </c>
      <c r="G840" s="10"/>
      <c r="H840" s="10" t="s">
        <v>18</v>
      </c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4.25" customHeight="1" x14ac:dyDescent="0.3">
      <c r="A841" s="8"/>
      <c r="B841" s="56">
        <v>45666</v>
      </c>
      <c r="C841" s="57" t="s">
        <v>30</v>
      </c>
      <c r="D841" s="57" t="s">
        <v>8</v>
      </c>
      <c r="E841" s="57" t="s">
        <v>31</v>
      </c>
      <c r="F841" s="10"/>
      <c r="G841" s="58">
        <v>1</v>
      </c>
      <c r="H841" s="58" t="s">
        <v>10</v>
      </c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4.25" customHeight="1" x14ac:dyDescent="0.3">
      <c r="A842" s="8"/>
      <c r="B842" s="56">
        <v>45666</v>
      </c>
      <c r="C842" s="57" t="s">
        <v>30</v>
      </c>
      <c r="D842" s="57" t="s">
        <v>8</v>
      </c>
      <c r="E842" s="57" t="s">
        <v>31</v>
      </c>
      <c r="F842" s="58">
        <v>1</v>
      </c>
      <c r="G842" s="10"/>
      <c r="H842" s="58" t="s">
        <v>18</v>
      </c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4.25" customHeight="1" x14ac:dyDescent="0.3">
      <c r="A843" s="8"/>
      <c r="B843" s="56">
        <v>45666</v>
      </c>
      <c r="C843" s="9" t="s">
        <v>28</v>
      </c>
      <c r="D843" s="9" t="s">
        <v>8</v>
      </c>
      <c r="E843" s="11" t="s">
        <v>29</v>
      </c>
      <c r="F843" s="10"/>
      <c r="G843" s="58">
        <v>1</v>
      </c>
      <c r="H843" s="58" t="s">
        <v>10</v>
      </c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4.25" customHeight="1" x14ac:dyDescent="0.3">
      <c r="A844" s="8"/>
      <c r="B844" s="56">
        <v>45666</v>
      </c>
      <c r="C844" s="9" t="s">
        <v>7</v>
      </c>
      <c r="D844" s="9" t="s">
        <v>8</v>
      </c>
      <c r="E844" s="11" t="s">
        <v>9</v>
      </c>
      <c r="F844" s="10"/>
      <c r="G844" s="58">
        <v>1</v>
      </c>
      <c r="H844" s="58" t="s">
        <v>10</v>
      </c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4.25" customHeight="1" x14ac:dyDescent="0.3">
      <c r="A845" s="8"/>
      <c r="B845" s="59">
        <v>45666</v>
      </c>
      <c r="C845" s="9" t="s">
        <v>39</v>
      </c>
      <c r="D845" s="9" t="s">
        <v>20</v>
      </c>
      <c r="E845" s="11" t="s">
        <v>40</v>
      </c>
      <c r="F845" s="10"/>
      <c r="G845" s="58">
        <v>7.5</v>
      </c>
      <c r="H845" s="58" t="s">
        <v>10</v>
      </c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4.25" customHeight="1" x14ac:dyDescent="0.3">
      <c r="A846" s="8"/>
      <c r="B846" s="59">
        <v>45666</v>
      </c>
      <c r="C846" s="9" t="s">
        <v>41</v>
      </c>
      <c r="D846" s="9" t="s">
        <v>20</v>
      </c>
      <c r="E846" s="11" t="s">
        <v>42</v>
      </c>
      <c r="F846" s="10"/>
      <c r="G846" s="58">
        <v>7.5</v>
      </c>
      <c r="H846" s="58" t="s">
        <v>10</v>
      </c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4.25" customHeight="1" x14ac:dyDescent="0.3">
      <c r="A847" s="8"/>
      <c r="B847" s="59">
        <v>45666</v>
      </c>
      <c r="C847" s="57" t="s">
        <v>93</v>
      </c>
      <c r="D847" s="57" t="s">
        <v>12</v>
      </c>
      <c r="E847" s="57" t="s">
        <v>94</v>
      </c>
      <c r="F847" s="58">
        <v>40</v>
      </c>
      <c r="G847" s="10"/>
      <c r="H847" s="58" t="s">
        <v>18</v>
      </c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4.25" customHeight="1" x14ac:dyDescent="0.3">
      <c r="A848" s="8"/>
      <c r="B848" s="59">
        <v>45666</v>
      </c>
      <c r="C848" s="57" t="s">
        <v>61</v>
      </c>
      <c r="D848" s="57" t="s">
        <v>20</v>
      </c>
      <c r="E848" s="57" t="s">
        <v>97</v>
      </c>
      <c r="F848" s="10"/>
      <c r="G848" s="58">
        <v>5</v>
      </c>
      <c r="H848" s="58" t="s">
        <v>10</v>
      </c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4.25" customHeight="1" x14ac:dyDescent="0.3">
      <c r="A849" s="8"/>
      <c r="B849" s="59">
        <v>45666</v>
      </c>
      <c r="C849" s="57" t="s">
        <v>45</v>
      </c>
      <c r="D849" s="57" t="s">
        <v>12</v>
      </c>
      <c r="E849" s="57" t="s">
        <v>59</v>
      </c>
      <c r="F849" s="10"/>
      <c r="G849" s="58">
        <v>80</v>
      </c>
      <c r="H849" s="58" t="s">
        <v>10</v>
      </c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4.25" customHeight="1" x14ac:dyDescent="0.3">
      <c r="A850" s="8"/>
      <c r="B850" s="59">
        <v>45666</v>
      </c>
      <c r="C850" s="60" t="s">
        <v>136</v>
      </c>
      <c r="D850" s="61" t="s">
        <v>20</v>
      </c>
      <c r="E850" s="57" t="s">
        <v>136</v>
      </c>
      <c r="F850" s="58">
        <v>3</v>
      </c>
      <c r="G850" s="10"/>
      <c r="H850" s="58" t="s">
        <v>18</v>
      </c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4.25" customHeight="1" x14ac:dyDescent="0.3">
      <c r="A851" s="8"/>
      <c r="B851" s="59">
        <v>45667</v>
      </c>
      <c r="C851" s="9" t="s">
        <v>28</v>
      </c>
      <c r="D851" s="9" t="s">
        <v>8</v>
      </c>
      <c r="E851" s="11" t="s">
        <v>29</v>
      </c>
      <c r="F851" s="58">
        <v>3</v>
      </c>
      <c r="G851" s="10"/>
      <c r="H851" s="58" t="s">
        <v>18</v>
      </c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4.25" customHeight="1" x14ac:dyDescent="0.3">
      <c r="A852" s="8"/>
      <c r="B852" s="59">
        <v>45667</v>
      </c>
      <c r="C852" s="9" t="s">
        <v>7</v>
      </c>
      <c r="D852" s="9" t="s">
        <v>8</v>
      </c>
      <c r="E852" s="11" t="s">
        <v>9</v>
      </c>
      <c r="F852" s="58">
        <v>2</v>
      </c>
      <c r="G852" s="10"/>
      <c r="H852" s="58" t="s">
        <v>18</v>
      </c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4.25" customHeight="1" x14ac:dyDescent="0.3">
      <c r="A853" s="8"/>
      <c r="B853" s="86">
        <v>45668</v>
      </c>
      <c r="C853" s="9" t="s">
        <v>28</v>
      </c>
      <c r="D853" s="9" t="s">
        <v>8</v>
      </c>
      <c r="E853" s="57" t="s">
        <v>29</v>
      </c>
      <c r="F853" s="10"/>
      <c r="G853" s="10">
        <v>1</v>
      </c>
      <c r="H853" s="10" t="s">
        <v>10</v>
      </c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4.25" customHeight="1" x14ac:dyDescent="0.3">
      <c r="A854" s="8"/>
      <c r="B854" s="86">
        <v>45668</v>
      </c>
      <c r="C854" s="9" t="s">
        <v>7</v>
      </c>
      <c r="D854" s="9" t="s">
        <v>8</v>
      </c>
      <c r="E854" s="57" t="s">
        <v>9</v>
      </c>
      <c r="F854" s="10"/>
      <c r="G854" s="10">
        <v>1</v>
      </c>
      <c r="H854" s="10" t="s">
        <v>10</v>
      </c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4.25" customHeight="1" x14ac:dyDescent="0.3">
      <c r="A855" s="8"/>
      <c r="B855" s="86">
        <v>45669</v>
      </c>
      <c r="C855" s="9" t="s">
        <v>28</v>
      </c>
      <c r="D855" s="9" t="s">
        <v>8</v>
      </c>
      <c r="E855" s="57" t="s">
        <v>29</v>
      </c>
      <c r="F855" s="10"/>
      <c r="G855" s="10">
        <v>1</v>
      </c>
      <c r="H855" s="10" t="s">
        <v>10</v>
      </c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4.25" customHeight="1" x14ac:dyDescent="0.3">
      <c r="A856" s="8"/>
      <c r="B856" s="86">
        <v>45670</v>
      </c>
      <c r="C856" s="9" t="s">
        <v>134</v>
      </c>
      <c r="D856" s="9" t="s">
        <v>20</v>
      </c>
      <c r="E856" s="11" t="s">
        <v>135</v>
      </c>
      <c r="F856" s="10"/>
      <c r="G856" s="10">
        <v>0.8</v>
      </c>
      <c r="H856" s="10" t="s">
        <v>10</v>
      </c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4.25" customHeight="1" x14ac:dyDescent="0.3">
      <c r="A857" s="8"/>
      <c r="B857" s="86">
        <v>45670</v>
      </c>
      <c r="C857" s="9" t="s">
        <v>43</v>
      </c>
      <c r="D857" s="9" t="s">
        <v>20</v>
      </c>
      <c r="E857" s="11" t="s">
        <v>44</v>
      </c>
      <c r="F857" s="10"/>
      <c r="G857" s="10">
        <f>13.3-9.4</f>
        <v>3.9000000000000004</v>
      </c>
      <c r="H857" s="10" t="s">
        <v>10</v>
      </c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4.25" customHeight="1" x14ac:dyDescent="0.3">
      <c r="A858" s="8"/>
      <c r="B858" s="86">
        <v>45670</v>
      </c>
      <c r="C858" s="20" t="s">
        <v>189</v>
      </c>
      <c r="D858" s="9" t="s">
        <v>12</v>
      </c>
      <c r="E858" s="11" t="s">
        <v>92</v>
      </c>
      <c r="F858" s="10"/>
      <c r="G858" s="10">
        <f>132-60</f>
        <v>72</v>
      </c>
      <c r="H858" s="10" t="s">
        <v>10</v>
      </c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4.25" customHeight="1" x14ac:dyDescent="0.3">
      <c r="A859" s="8"/>
      <c r="B859" s="86">
        <v>45670</v>
      </c>
      <c r="C859" s="9" t="s">
        <v>51</v>
      </c>
      <c r="D859" s="9" t="s">
        <v>20</v>
      </c>
      <c r="E859" s="11" t="s">
        <v>52</v>
      </c>
      <c r="F859" s="10"/>
      <c r="G859" s="10">
        <v>3.5</v>
      </c>
      <c r="H859" s="58" t="s">
        <v>10</v>
      </c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4.25" customHeight="1" x14ac:dyDescent="0.3">
      <c r="A860" s="8"/>
      <c r="B860" s="86">
        <v>45670</v>
      </c>
      <c r="C860" s="9" t="s">
        <v>39</v>
      </c>
      <c r="D860" s="9" t="s">
        <v>20</v>
      </c>
      <c r="E860" s="57" t="s">
        <v>40</v>
      </c>
      <c r="F860" s="10"/>
      <c r="G860" s="10">
        <v>1.8</v>
      </c>
      <c r="H860" s="58" t="s">
        <v>10</v>
      </c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4.25" customHeight="1" x14ac:dyDescent="0.3">
      <c r="A861" s="8"/>
      <c r="B861" s="86">
        <v>45670</v>
      </c>
      <c r="C861" s="9" t="s">
        <v>41</v>
      </c>
      <c r="D861" s="9" t="s">
        <v>20</v>
      </c>
      <c r="E861" s="57" t="s">
        <v>42</v>
      </c>
      <c r="F861" s="10">
        <v>5</v>
      </c>
      <c r="G861" s="10"/>
      <c r="H861" s="58" t="s">
        <v>10</v>
      </c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4.25" customHeight="1" x14ac:dyDescent="0.3">
      <c r="A862" s="8"/>
      <c r="B862" s="86">
        <v>45670</v>
      </c>
      <c r="C862" s="9" t="s">
        <v>95</v>
      </c>
      <c r="D862" s="9" t="s">
        <v>12</v>
      </c>
      <c r="E862" s="11" t="s">
        <v>96</v>
      </c>
      <c r="F862" s="10"/>
      <c r="G862" s="10">
        <v>30</v>
      </c>
      <c r="H862" s="58" t="s">
        <v>10</v>
      </c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4.25" customHeight="1" x14ac:dyDescent="0.3">
      <c r="A863" s="8"/>
      <c r="B863" s="86">
        <v>45670</v>
      </c>
      <c r="C863" s="9" t="s">
        <v>53</v>
      </c>
      <c r="D863" s="9" t="s">
        <v>12</v>
      </c>
      <c r="E863" s="11" t="s">
        <v>54</v>
      </c>
      <c r="F863" s="10">
        <v>24</v>
      </c>
      <c r="G863" s="10"/>
      <c r="H863" s="58" t="s">
        <v>10</v>
      </c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4.25" customHeight="1" x14ac:dyDescent="0.3">
      <c r="A864" s="8"/>
      <c r="B864" s="86">
        <v>45670</v>
      </c>
      <c r="C864" s="9" t="s">
        <v>57</v>
      </c>
      <c r="D864" s="9" t="s">
        <v>12</v>
      </c>
      <c r="E864" s="11" t="s">
        <v>58</v>
      </c>
      <c r="F864" s="10"/>
      <c r="G864" s="10">
        <v>80</v>
      </c>
      <c r="H864" s="58" t="s">
        <v>10</v>
      </c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4.25" customHeight="1" x14ac:dyDescent="0.3">
      <c r="A865" s="8"/>
      <c r="B865" s="86">
        <v>45670</v>
      </c>
      <c r="C865" s="9" t="s">
        <v>127</v>
      </c>
      <c r="D865" s="9" t="s">
        <v>12</v>
      </c>
      <c r="E865" s="11" t="s">
        <v>99</v>
      </c>
      <c r="F865" s="10"/>
      <c r="G865" s="10">
        <v>10</v>
      </c>
      <c r="H865" s="10" t="s">
        <v>10</v>
      </c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4.25" customHeight="1" x14ac:dyDescent="0.3">
      <c r="A866" s="8"/>
      <c r="B866" s="86">
        <v>45670</v>
      </c>
      <c r="C866" s="9" t="s">
        <v>61</v>
      </c>
      <c r="D866" s="9" t="s">
        <v>20</v>
      </c>
      <c r="E866" s="11" t="s">
        <v>62</v>
      </c>
      <c r="F866" s="10"/>
      <c r="G866" s="10">
        <v>11</v>
      </c>
      <c r="H866" s="10" t="s">
        <v>10</v>
      </c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4.25" customHeight="1" x14ac:dyDescent="0.3">
      <c r="A867" s="8"/>
      <c r="B867" s="86">
        <v>45670</v>
      </c>
      <c r="C867" s="42" t="s">
        <v>106</v>
      </c>
      <c r="D867" s="25" t="s">
        <v>160</v>
      </c>
      <c r="E867" s="11" t="s">
        <v>107</v>
      </c>
      <c r="F867" s="10"/>
      <c r="G867" s="10">
        <v>2</v>
      </c>
      <c r="H867" s="10" t="s">
        <v>10</v>
      </c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4.25" customHeight="1" x14ac:dyDescent="0.3">
      <c r="A868" s="8"/>
      <c r="B868" s="86">
        <v>45670</v>
      </c>
      <c r="C868" s="26" t="s">
        <v>87</v>
      </c>
      <c r="D868" s="9" t="s">
        <v>20</v>
      </c>
      <c r="E868" s="11" t="s">
        <v>88</v>
      </c>
      <c r="F868" s="10"/>
      <c r="G868" s="10">
        <v>10</v>
      </c>
      <c r="H868" s="10" t="s">
        <v>10</v>
      </c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4.25" customHeight="1" x14ac:dyDescent="0.3">
      <c r="A869" s="8"/>
      <c r="B869" s="86">
        <v>45671</v>
      </c>
      <c r="C869" s="9" t="s">
        <v>53</v>
      </c>
      <c r="D869" s="9" t="s">
        <v>12</v>
      </c>
      <c r="E869" s="57" t="s">
        <v>54</v>
      </c>
      <c r="F869" s="10"/>
      <c r="G869" s="10">
        <v>16</v>
      </c>
      <c r="H869" s="10" t="s">
        <v>10</v>
      </c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4.25" customHeight="1" x14ac:dyDescent="0.3">
      <c r="A870" s="8"/>
      <c r="B870" s="86">
        <v>45671</v>
      </c>
      <c r="C870" s="9" t="s">
        <v>75</v>
      </c>
      <c r="D870" s="9" t="s">
        <v>8</v>
      </c>
      <c r="E870" s="11" t="s">
        <v>76</v>
      </c>
      <c r="F870" s="10">
        <v>1</v>
      </c>
      <c r="G870" s="10"/>
      <c r="H870" s="10" t="s">
        <v>18</v>
      </c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4.25" customHeight="1" x14ac:dyDescent="0.3">
      <c r="A871" s="8"/>
      <c r="B871" s="86">
        <v>45671</v>
      </c>
      <c r="C871" s="26" t="s">
        <v>101</v>
      </c>
      <c r="D871" s="9" t="s">
        <v>8</v>
      </c>
      <c r="E871" s="11" t="s">
        <v>102</v>
      </c>
      <c r="F871" s="10">
        <v>1</v>
      </c>
      <c r="G871" s="10"/>
      <c r="H871" s="10" t="s">
        <v>18</v>
      </c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4.25" customHeight="1" x14ac:dyDescent="0.3">
      <c r="A872" s="8"/>
      <c r="B872" s="86">
        <v>45671</v>
      </c>
      <c r="C872" s="9" t="s">
        <v>7</v>
      </c>
      <c r="D872" s="9" t="s">
        <v>8</v>
      </c>
      <c r="E872" s="57" t="s">
        <v>9</v>
      </c>
      <c r="F872" s="10"/>
      <c r="G872" s="10">
        <v>1</v>
      </c>
      <c r="H872" s="10" t="s">
        <v>10</v>
      </c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4.25" customHeight="1" x14ac:dyDescent="0.3">
      <c r="A873" s="8"/>
      <c r="B873" s="86">
        <v>45671</v>
      </c>
      <c r="C873" s="26" t="s">
        <v>101</v>
      </c>
      <c r="D873" s="9" t="s">
        <v>8</v>
      </c>
      <c r="E873" s="57" t="s">
        <v>102</v>
      </c>
      <c r="F873" s="10"/>
      <c r="G873" s="10">
        <v>1</v>
      </c>
      <c r="H873" s="10" t="s">
        <v>10</v>
      </c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4.25" customHeight="1" x14ac:dyDescent="0.3">
      <c r="A874" s="8"/>
      <c r="B874" s="86">
        <v>45673</v>
      </c>
      <c r="C874" s="9" t="s">
        <v>30</v>
      </c>
      <c r="D874" s="9" t="s">
        <v>8</v>
      </c>
      <c r="E874" s="11" t="s">
        <v>124</v>
      </c>
      <c r="F874" s="10"/>
      <c r="G874" s="10">
        <v>1</v>
      </c>
      <c r="H874" s="10" t="s">
        <v>10</v>
      </c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4.25" customHeight="1" x14ac:dyDescent="0.3">
      <c r="A875" s="8"/>
      <c r="B875" s="86">
        <v>45673</v>
      </c>
      <c r="C875" s="9" t="s">
        <v>28</v>
      </c>
      <c r="D875" s="9" t="s">
        <v>8</v>
      </c>
      <c r="E875" s="57" t="s">
        <v>29</v>
      </c>
      <c r="F875" s="10"/>
      <c r="G875" s="10">
        <v>1</v>
      </c>
      <c r="H875" s="10" t="s">
        <v>10</v>
      </c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4.25" customHeight="1" x14ac:dyDescent="0.3">
      <c r="A876" s="8"/>
      <c r="B876" s="86">
        <v>45673</v>
      </c>
      <c r="C876" s="9" t="s">
        <v>75</v>
      </c>
      <c r="D876" s="9" t="s">
        <v>8</v>
      </c>
      <c r="E876" s="11" t="s">
        <v>161</v>
      </c>
      <c r="F876" s="10"/>
      <c r="G876" s="10">
        <v>1</v>
      </c>
      <c r="H876" s="10" t="s">
        <v>10</v>
      </c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4.25" customHeight="1" x14ac:dyDescent="0.3">
      <c r="A877" s="8"/>
      <c r="B877" s="86">
        <v>45673</v>
      </c>
      <c r="C877" s="9" t="s">
        <v>39</v>
      </c>
      <c r="D877" s="9" t="s">
        <v>20</v>
      </c>
      <c r="E877" s="57" t="s">
        <v>40</v>
      </c>
      <c r="F877" s="10">
        <v>4</v>
      </c>
      <c r="G877" s="10"/>
      <c r="H877" s="10" t="s">
        <v>18</v>
      </c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4.25" customHeight="1" x14ac:dyDescent="0.3">
      <c r="A878" s="8"/>
      <c r="B878" s="86">
        <v>45673</v>
      </c>
      <c r="C878" s="9" t="s">
        <v>41</v>
      </c>
      <c r="D878" s="9" t="s">
        <v>20</v>
      </c>
      <c r="E878" s="57" t="s">
        <v>42</v>
      </c>
      <c r="F878" s="10"/>
      <c r="G878" s="10">
        <v>2.5</v>
      </c>
      <c r="H878" s="10" t="s">
        <v>10</v>
      </c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4.25" customHeight="1" x14ac:dyDescent="0.3">
      <c r="A879" s="8"/>
      <c r="B879" s="86">
        <v>45673</v>
      </c>
      <c r="C879" s="9" t="s">
        <v>51</v>
      </c>
      <c r="D879" s="9" t="s">
        <v>20</v>
      </c>
      <c r="E879" s="11" t="s">
        <v>52</v>
      </c>
      <c r="F879" s="10">
        <v>7.1</v>
      </c>
      <c r="G879" s="10"/>
      <c r="H879" s="10" t="s">
        <v>18</v>
      </c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4.25" customHeight="1" x14ac:dyDescent="0.3">
      <c r="A880" s="8"/>
      <c r="B880" s="86">
        <v>45673</v>
      </c>
      <c r="C880" s="9" t="s">
        <v>95</v>
      </c>
      <c r="D880" s="9" t="s">
        <v>12</v>
      </c>
      <c r="E880" s="11" t="s">
        <v>96</v>
      </c>
      <c r="F880" s="10"/>
      <c r="G880" s="10">
        <v>30</v>
      </c>
      <c r="H880" s="10" t="s">
        <v>10</v>
      </c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4.25" customHeight="1" x14ac:dyDescent="0.3">
      <c r="A881" s="8"/>
      <c r="B881" s="86">
        <v>45673</v>
      </c>
      <c r="C881" s="18" t="s">
        <v>115</v>
      </c>
      <c r="D881" s="9" t="s">
        <v>12</v>
      </c>
      <c r="E881" s="11" t="s">
        <v>116</v>
      </c>
      <c r="F881" s="10"/>
      <c r="G881" s="10">
        <v>1</v>
      </c>
      <c r="H881" s="58" t="s">
        <v>10</v>
      </c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4.25" customHeight="1" x14ac:dyDescent="0.3">
      <c r="A882" s="8"/>
      <c r="B882" s="86">
        <v>45673</v>
      </c>
      <c r="C882" s="85" t="s">
        <v>136</v>
      </c>
      <c r="D882" s="9" t="s">
        <v>20</v>
      </c>
      <c r="E882" s="85" t="s">
        <v>136</v>
      </c>
      <c r="F882" s="10"/>
      <c r="G882" s="10">
        <v>3</v>
      </c>
      <c r="H882" s="58" t="s">
        <v>10</v>
      </c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4.25" customHeight="1" x14ac:dyDescent="0.3">
      <c r="A883" s="8"/>
      <c r="B883" s="86">
        <v>45674</v>
      </c>
      <c r="C883" s="9" t="s">
        <v>30</v>
      </c>
      <c r="D883" s="9" t="s">
        <v>8</v>
      </c>
      <c r="E883" s="57" t="s">
        <v>124</v>
      </c>
      <c r="F883" s="10">
        <v>1</v>
      </c>
      <c r="G883" s="10"/>
      <c r="H883" s="10" t="s">
        <v>18</v>
      </c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4.25" customHeight="1" x14ac:dyDescent="0.3">
      <c r="A884" s="8"/>
      <c r="B884" s="86">
        <v>45674</v>
      </c>
      <c r="C884" s="9" t="s">
        <v>7</v>
      </c>
      <c r="D884" s="9" t="s">
        <v>8</v>
      </c>
      <c r="E884" s="57" t="s">
        <v>9</v>
      </c>
      <c r="F884" s="10">
        <v>1</v>
      </c>
      <c r="G884" s="10"/>
      <c r="H884" s="10" t="s">
        <v>18</v>
      </c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4.25" customHeight="1" x14ac:dyDescent="0.3">
      <c r="A885" s="8"/>
      <c r="B885" s="86">
        <v>45674</v>
      </c>
      <c r="C885" s="9" t="s">
        <v>70</v>
      </c>
      <c r="D885" s="9" t="s">
        <v>71</v>
      </c>
      <c r="E885" s="18" t="s">
        <v>72</v>
      </c>
      <c r="F885" s="10"/>
      <c r="G885" s="10">
        <v>1</v>
      </c>
      <c r="H885" s="10" t="s">
        <v>10</v>
      </c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4.25" customHeight="1" x14ac:dyDescent="0.3">
      <c r="A886" s="8"/>
      <c r="B886" s="86">
        <v>45674</v>
      </c>
      <c r="C886" s="8" t="s">
        <v>93</v>
      </c>
      <c r="D886" s="18" t="s">
        <v>12</v>
      </c>
      <c r="E886" s="18" t="s">
        <v>94</v>
      </c>
      <c r="F886" s="10"/>
      <c r="G886" s="10">
        <v>10</v>
      </c>
      <c r="H886" s="10" t="s">
        <v>10</v>
      </c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4.4" x14ac:dyDescent="0.3">
      <c r="A887" s="8"/>
      <c r="B887" s="86">
        <v>45674</v>
      </c>
      <c r="C887" s="9" t="s">
        <v>28</v>
      </c>
      <c r="D887" s="9" t="s">
        <v>8</v>
      </c>
      <c r="E887" s="57" t="s">
        <v>29</v>
      </c>
      <c r="F887" s="10">
        <v>2</v>
      </c>
      <c r="G887" s="10"/>
      <c r="H887" s="10" t="s">
        <v>18</v>
      </c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4.4" x14ac:dyDescent="0.3">
      <c r="A888" s="89"/>
      <c r="B888" s="86">
        <v>45676</v>
      </c>
      <c r="C888" s="9" t="s">
        <v>28</v>
      </c>
      <c r="D888" s="9" t="s">
        <v>8</v>
      </c>
      <c r="E888" s="57" t="s">
        <v>29</v>
      </c>
      <c r="F888" s="58"/>
      <c r="G888" s="58">
        <v>2</v>
      </c>
      <c r="H888" s="58" t="s">
        <v>10</v>
      </c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</row>
    <row r="889" spans="1:26" ht="14.4" x14ac:dyDescent="0.3">
      <c r="A889" s="89"/>
      <c r="B889" s="86">
        <v>45676</v>
      </c>
      <c r="C889" s="9" t="s">
        <v>7</v>
      </c>
      <c r="D889" s="9" t="s">
        <v>8</v>
      </c>
      <c r="E889" s="57" t="s">
        <v>9</v>
      </c>
      <c r="F889" s="58"/>
      <c r="G889" s="58">
        <v>1</v>
      </c>
      <c r="H889" s="58" t="s">
        <v>10</v>
      </c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</row>
    <row r="890" spans="1:26" ht="14.4" x14ac:dyDescent="0.3">
      <c r="A890" s="89"/>
      <c r="B890" s="86">
        <v>45676</v>
      </c>
      <c r="C890" s="9" t="s">
        <v>39</v>
      </c>
      <c r="D890" s="9" t="s">
        <v>20</v>
      </c>
      <c r="E890" s="57" t="s">
        <v>40</v>
      </c>
      <c r="F890" s="58">
        <v>5</v>
      </c>
      <c r="G890" s="58"/>
      <c r="H890" s="58" t="s">
        <v>18</v>
      </c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</row>
    <row r="891" spans="1:26" ht="14.4" x14ac:dyDescent="0.3">
      <c r="A891" s="89"/>
      <c r="B891" s="86">
        <v>45676</v>
      </c>
      <c r="C891" s="9" t="s">
        <v>41</v>
      </c>
      <c r="D891" s="9" t="s">
        <v>20</v>
      </c>
      <c r="E891" s="57" t="s">
        <v>42</v>
      </c>
      <c r="F891" s="58">
        <v>5</v>
      </c>
      <c r="G891" s="58"/>
      <c r="H891" s="58" t="s">
        <v>18</v>
      </c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</row>
    <row r="892" spans="1:26" ht="14.4" x14ac:dyDescent="0.3">
      <c r="A892" s="89"/>
      <c r="B892" s="86">
        <v>45676</v>
      </c>
      <c r="C892" s="9" t="s">
        <v>70</v>
      </c>
      <c r="D892" s="9" t="s">
        <v>71</v>
      </c>
      <c r="E892" s="18" t="s">
        <v>72</v>
      </c>
      <c r="F892" s="58">
        <v>2</v>
      </c>
      <c r="G892" s="58"/>
      <c r="H892" s="58" t="s">
        <v>18</v>
      </c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</row>
    <row r="893" spans="1:26" ht="14.4" x14ac:dyDescent="0.3">
      <c r="A893" s="89"/>
      <c r="B893" s="86">
        <v>45676</v>
      </c>
      <c r="C893" s="14" t="s">
        <v>110</v>
      </c>
      <c r="D893" s="9" t="s">
        <v>12</v>
      </c>
      <c r="E893" s="57" t="s">
        <v>111</v>
      </c>
      <c r="F893" s="58">
        <v>20</v>
      </c>
      <c r="G893" s="58"/>
      <c r="H893" s="58" t="s">
        <v>18</v>
      </c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</row>
    <row r="894" spans="1:26" ht="14.25" customHeight="1" x14ac:dyDescent="0.3">
      <c r="A894" s="8"/>
      <c r="B894" s="86">
        <v>45677</v>
      </c>
      <c r="C894" s="9" t="s">
        <v>51</v>
      </c>
      <c r="D894" s="9" t="s">
        <v>20</v>
      </c>
      <c r="E894" s="57" t="s">
        <v>52</v>
      </c>
      <c r="F894" s="10"/>
      <c r="G894" s="10">
        <v>1.2</v>
      </c>
      <c r="H894" s="10" t="s">
        <v>10</v>
      </c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4.25" customHeight="1" x14ac:dyDescent="0.3">
      <c r="A895" s="8"/>
      <c r="B895" s="86">
        <v>45677</v>
      </c>
      <c r="C895" s="87" t="s">
        <v>57</v>
      </c>
      <c r="D895" s="88" t="s">
        <v>12</v>
      </c>
      <c r="E895" s="88" t="s">
        <v>58</v>
      </c>
      <c r="F895" s="10"/>
      <c r="G895" s="10">
        <v>80</v>
      </c>
      <c r="H895" s="10" t="s">
        <v>10</v>
      </c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4.25" customHeight="1" x14ac:dyDescent="0.3">
      <c r="A896" s="8"/>
      <c r="B896" s="86">
        <v>45677</v>
      </c>
      <c r="C896" s="9" t="s">
        <v>45</v>
      </c>
      <c r="D896" s="9" t="s">
        <v>12</v>
      </c>
      <c r="E896" s="18" t="s">
        <v>59</v>
      </c>
      <c r="F896" s="10"/>
      <c r="G896" s="10">
        <v>160</v>
      </c>
      <c r="H896" s="10" t="s">
        <v>10</v>
      </c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4.25" customHeight="1" x14ac:dyDescent="0.3">
      <c r="A897" s="8"/>
      <c r="B897" s="86">
        <v>45677</v>
      </c>
      <c r="C897" s="8" t="s">
        <v>93</v>
      </c>
      <c r="D897" s="18" t="s">
        <v>12</v>
      </c>
      <c r="E897" s="18" t="s">
        <v>94</v>
      </c>
      <c r="F897" s="10"/>
      <c r="G897" s="10">
        <v>10</v>
      </c>
      <c r="H897" s="10" t="s">
        <v>10</v>
      </c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4.25" customHeight="1" x14ac:dyDescent="0.3">
      <c r="A898" s="8"/>
      <c r="B898" s="86">
        <v>45677</v>
      </c>
      <c r="C898" s="42" t="s">
        <v>106</v>
      </c>
      <c r="D898" s="25" t="s">
        <v>160</v>
      </c>
      <c r="E898" s="11" t="s">
        <v>107</v>
      </c>
      <c r="F898" s="10"/>
      <c r="G898" s="10">
        <v>1</v>
      </c>
      <c r="H898" s="10" t="s">
        <v>10</v>
      </c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4.25" customHeight="1" x14ac:dyDescent="0.3">
      <c r="A899" s="8"/>
      <c r="B899" s="86">
        <v>45677</v>
      </c>
      <c r="C899" s="9" t="s">
        <v>127</v>
      </c>
      <c r="D899" s="9" t="s">
        <v>12</v>
      </c>
      <c r="E899" s="11" t="s">
        <v>99</v>
      </c>
      <c r="F899" s="10"/>
      <c r="G899" s="10">
        <v>12</v>
      </c>
      <c r="H899" s="10" t="s">
        <v>10</v>
      </c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4.25" customHeight="1" x14ac:dyDescent="0.3">
      <c r="A900" s="8"/>
      <c r="B900" s="86">
        <v>45677</v>
      </c>
      <c r="C900" s="9" t="s">
        <v>55</v>
      </c>
      <c r="D900" s="9" t="s">
        <v>12</v>
      </c>
      <c r="E900" s="11" t="s">
        <v>56</v>
      </c>
      <c r="F900" s="10"/>
      <c r="G900" s="10">
        <v>30</v>
      </c>
      <c r="H900" s="10" t="s">
        <v>10</v>
      </c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4.25" customHeight="1" x14ac:dyDescent="0.3">
      <c r="A901" s="8"/>
      <c r="B901" s="86">
        <v>45677</v>
      </c>
      <c r="C901" s="9" t="s">
        <v>28</v>
      </c>
      <c r="D901" s="9" t="s">
        <v>8</v>
      </c>
      <c r="E901" s="57" t="s">
        <v>29</v>
      </c>
      <c r="F901" s="10">
        <v>3</v>
      </c>
      <c r="G901" s="10"/>
      <c r="H901" s="10" t="s">
        <v>18</v>
      </c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4.25" customHeight="1" x14ac:dyDescent="0.3">
      <c r="A902" s="8"/>
      <c r="B902" s="86">
        <v>45677</v>
      </c>
      <c r="C902" s="9" t="s">
        <v>7</v>
      </c>
      <c r="D902" s="9" t="s">
        <v>8</v>
      </c>
      <c r="E902" s="57" t="s">
        <v>9</v>
      </c>
      <c r="F902" s="10">
        <v>2</v>
      </c>
      <c r="G902" s="10"/>
      <c r="H902" s="10" t="s">
        <v>18</v>
      </c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4.25" customHeight="1" x14ac:dyDescent="0.3">
      <c r="A903" s="8"/>
      <c r="B903" s="86">
        <v>45677</v>
      </c>
      <c r="C903" s="20" t="s">
        <v>189</v>
      </c>
      <c r="D903" s="9" t="s">
        <v>12</v>
      </c>
      <c r="E903" s="11" t="s">
        <v>92</v>
      </c>
      <c r="F903" s="10"/>
      <c r="G903" s="10">
        <f>84-41</f>
        <v>43</v>
      </c>
      <c r="H903" s="10" t="s">
        <v>10</v>
      </c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4.25" customHeight="1" x14ac:dyDescent="0.3">
      <c r="A904" s="8"/>
      <c r="B904" s="86">
        <v>45677</v>
      </c>
      <c r="C904" s="9" t="s">
        <v>43</v>
      </c>
      <c r="D904" s="9" t="s">
        <v>20</v>
      </c>
      <c r="E904" s="11" t="s">
        <v>44</v>
      </c>
      <c r="F904" s="10"/>
      <c r="G904" s="10">
        <v>3</v>
      </c>
      <c r="H904" s="10" t="s">
        <v>10</v>
      </c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4.25" customHeight="1" x14ac:dyDescent="0.3">
      <c r="A905" s="8"/>
      <c r="B905" s="86">
        <v>45677</v>
      </c>
      <c r="C905" s="9" t="s">
        <v>77</v>
      </c>
      <c r="D905" s="9" t="s">
        <v>20</v>
      </c>
      <c r="E905" s="11" t="s">
        <v>78</v>
      </c>
      <c r="F905" s="10"/>
      <c r="G905" s="10">
        <v>1.7</v>
      </c>
      <c r="H905" s="10" t="s">
        <v>10</v>
      </c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4.25" customHeight="1" x14ac:dyDescent="0.3">
      <c r="A906" s="8"/>
      <c r="B906" s="86">
        <v>45677</v>
      </c>
      <c r="C906" s="9" t="s">
        <v>73</v>
      </c>
      <c r="D906" s="9" t="s">
        <v>71</v>
      </c>
      <c r="E906" s="11" t="s">
        <v>74</v>
      </c>
      <c r="F906" s="10"/>
      <c r="G906" s="10">
        <v>2</v>
      </c>
      <c r="H906" s="10" t="s">
        <v>10</v>
      </c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4.25" customHeight="1" x14ac:dyDescent="0.3">
      <c r="A907" s="8"/>
      <c r="B907" s="86">
        <v>45677</v>
      </c>
      <c r="C907" s="9" t="s">
        <v>39</v>
      </c>
      <c r="D907" s="9" t="s">
        <v>20</v>
      </c>
      <c r="E907" s="57" t="s">
        <v>40</v>
      </c>
      <c r="F907" s="10"/>
      <c r="G907" s="10">
        <v>10.199999999999999</v>
      </c>
      <c r="H907" s="10" t="s">
        <v>10</v>
      </c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4.25" customHeight="1" x14ac:dyDescent="0.3">
      <c r="A908" s="8"/>
      <c r="B908" s="86">
        <v>45677</v>
      </c>
      <c r="C908" s="9" t="s">
        <v>41</v>
      </c>
      <c r="D908" s="9" t="s">
        <v>20</v>
      </c>
      <c r="E908" s="57" t="s">
        <v>42</v>
      </c>
      <c r="F908" s="10"/>
      <c r="G908" s="10">
        <v>7.2</v>
      </c>
      <c r="H908" s="10" t="s">
        <v>10</v>
      </c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4.25" customHeight="1" x14ac:dyDescent="0.3">
      <c r="A909" s="8"/>
      <c r="B909" s="86">
        <v>45677</v>
      </c>
      <c r="C909" s="9" t="s">
        <v>51</v>
      </c>
      <c r="D909" s="9" t="s">
        <v>20</v>
      </c>
      <c r="E909" s="11" t="s">
        <v>52</v>
      </c>
      <c r="F909" s="10"/>
      <c r="G909" s="10">
        <v>0.3</v>
      </c>
      <c r="H909" s="10" t="s">
        <v>10</v>
      </c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4.25" customHeight="1" x14ac:dyDescent="0.3">
      <c r="A910" s="8"/>
      <c r="B910" s="86">
        <v>45677</v>
      </c>
      <c r="C910" s="9" t="s">
        <v>53</v>
      </c>
      <c r="D910" s="9" t="s">
        <v>12</v>
      </c>
      <c r="E910" s="11" t="s">
        <v>54</v>
      </c>
      <c r="F910" s="10"/>
      <c r="G910" s="10">
        <v>8</v>
      </c>
      <c r="H910" s="10" t="s">
        <v>10</v>
      </c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4.25" customHeight="1" x14ac:dyDescent="0.3">
      <c r="A911" s="8"/>
      <c r="B911" s="86">
        <v>45677</v>
      </c>
      <c r="C911" s="9" t="s">
        <v>14</v>
      </c>
      <c r="D911" s="9" t="s">
        <v>12</v>
      </c>
      <c r="E911" s="11" t="s">
        <v>15</v>
      </c>
      <c r="F911" s="10"/>
      <c r="G911" s="10">
        <v>16</v>
      </c>
      <c r="H911" s="10" t="s">
        <v>10</v>
      </c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4.25" customHeight="1" x14ac:dyDescent="0.3">
      <c r="A912" s="8"/>
      <c r="B912" s="86">
        <v>45677</v>
      </c>
      <c r="C912" s="18" t="s">
        <v>115</v>
      </c>
      <c r="D912" s="18" t="s">
        <v>12</v>
      </c>
      <c r="E912" s="18" t="s">
        <v>116</v>
      </c>
      <c r="F912" s="10"/>
      <c r="G912" s="10">
        <v>2</v>
      </c>
      <c r="H912" s="10" t="s">
        <v>10</v>
      </c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4.25" customHeight="1" x14ac:dyDescent="0.3">
      <c r="A913" s="8"/>
      <c r="B913" s="86">
        <v>45679</v>
      </c>
      <c r="C913" s="20" t="s">
        <v>189</v>
      </c>
      <c r="D913" s="18" t="s">
        <v>12</v>
      </c>
      <c r="E913" s="18" t="s">
        <v>92</v>
      </c>
      <c r="F913" s="10">
        <f>5*12</f>
        <v>60</v>
      </c>
      <c r="G913" s="10"/>
      <c r="H913" s="10" t="s">
        <v>18</v>
      </c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4.25" customHeight="1" x14ac:dyDescent="0.3">
      <c r="A914" s="8"/>
      <c r="B914" s="86">
        <v>45679</v>
      </c>
      <c r="C914" s="9" t="s">
        <v>11</v>
      </c>
      <c r="D914" s="9" t="s">
        <v>12</v>
      </c>
      <c r="E914" s="11" t="s">
        <v>13</v>
      </c>
      <c r="F914" s="10">
        <v>70</v>
      </c>
      <c r="G914" s="10"/>
      <c r="H914" s="10" t="s">
        <v>18</v>
      </c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4.25" customHeight="1" x14ac:dyDescent="0.3">
      <c r="A915" s="8"/>
      <c r="B915" s="86">
        <v>45680</v>
      </c>
      <c r="C915" s="9" t="s">
        <v>28</v>
      </c>
      <c r="D915" s="9" t="s">
        <v>8</v>
      </c>
      <c r="E915" s="57" t="s">
        <v>29</v>
      </c>
      <c r="F915" s="10"/>
      <c r="G915" s="10">
        <v>1</v>
      </c>
      <c r="H915" s="10" t="s">
        <v>10</v>
      </c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4.25" customHeight="1" x14ac:dyDescent="0.3">
      <c r="A916" s="8"/>
      <c r="B916" s="86">
        <v>45680</v>
      </c>
      <c r="C916" s="9" t="s">
        <v>7</v>
      </c>
      <c r="D916" s="9" t="s">
        <v>8</v>
      </c>
      <c r="E916" s="57" t="s">
        <v>9</v>
      </c>
      <c r="F916" s="10"/>
      <c r="G916" s="10">
        <v>1</v>
      </c>
      <c r="H916" s="10" t="s">
        <v>10</v>
      </c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4.25" customHeight="1" x14ac:dyDescent="0.3">
      <c r="A917" s="8"/>
      <c r="B917" s="86">
        <v>45680</v>
      </c>
      <c r="C917" s="9" t="s">
        <v>30</v>
      </c>
      <c r="D917" s="9" t="s">
        <v>8</v>
      </c>
      <c r="E917" s="11" t="s">
        <v>31</v>
      </c>
      <c r="F917" s="10"/>
      <c r="G917" s="10">
        <v>1</v>
      </c>
      <c r="H917" s="10" t="s">
        <v>10</v>
      </c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4.25" customHeight="1" x14ac:dyDescent="0.3">
      <c r="A918" s="8"/>
      <c r="B918" s="86">
        <v>45680</v>
      </c>
      <c r="C918" s="90" t="s">
        <v>28</v>
      </c>
      <c r="D918" s="91" t="s">
        <v>8</v>
      </c>
      <c r="E918" s="92" t="s">
        <v>29</v>
      </c>
      <c r="F918" s="10"/>
      <c r="G918" s="10">
        <v>1</v>
      </c>
      <c r="H918" s="10" t="s">
        <v>10</v>
      </c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4.25" customHeight="1" x14ac:dyDescent="0.3">
      <c r="A919" s="8"/>
      <c r="B919" s="86">
        <v>45680</v>
      </c>
      <c r="C919" s="9" t="s">
        <v>43</v>
      </c>
      <c r="D919" s="9" t="s">
        <v>20</v>
      </c>
      <c r="E919" s="57" t="s">
        <v>44</v>
      </c>
      <c r="F919" s="10"/>
      <c r="G919" s="10">
        <v>3.8</v>
      </c>
      <c r="H919" s="58" t="s">
        <v>10</v>
      </c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4.25" customHeight="1" x14ac:dyDescent="0.3">
      <c r="A920" s="8"/>
      <c r="B920" s="86">
        <v>45680</v>
      </c>
      <c r="C920" s="9" t="s">
        <v>77</v>
      </c>
      <c r="D920" s="9" t="s">
        <v>20</v>
      </c>
      <c r="E920" s="57" t="s">
        <v>78</v>
      </c>
      <c r="F920" s="10"/>
      <c r="G920" s="10">
        <v>1</v>
      </c>
      <c r="H920" s="58" t="s">
        <v>10</v>
      </c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4.25" customHeight="1" x14ac:dyDescent="0.3">
      <c r="A921" s="8"/>
      <c r="B921" s="86">
        <v>45680</v>
      </c>
      <c r="C921" s="9" t="s">
        <v>41</v>
      </c>
      <c r="D921" s="9" t="s">
        <v>20</v>
      </c>
      <c r="E921" s="57" t="s">
        <v>42</v>
      </c>
      <c r="F921" s="10"/>
      <c r="G921" s="10">
        <v>2.2999999999999998</v>
      </c>
      <c r="H921" s="58" t="s">
        <v>10</v>
      </c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4.25" customHeight="1" x14ac:dyDescent="0.3">
      <c r="A922" s="8"/>
      <c r="B922" s="86">
        <v>45680</v>
      </c>
      <c r="C922" s="9" t="s">
        <v>53</v>
      </c>
      <c r="D922" s="9" t="s">
        <v>12</v>
      </c>
      <c r="E922" s="57" t="s">
        <v>54</v>
      </c>
      <c r="F922" s="10">
        <v>14</v>
      </c>
      <c r="G922" s="10"/>
      <c r="H922" s="58" t="s">
        <v>18</v>
      </c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4.25" customHeight="1" x14ac:dyDescent="0.3">
      <c r="A923" s="8"/>
      <c r="B923" s="86">
        <v>45680</v>
      </c>
      <c r="C923" s="9" t="s">
        <v>127</v>
      </c>
      <c r="D923" s="9" t="s">
        <v>12</v>
      </c>
      <c r="E923" s="11" t="s">
        <v>99</v>
      </c>
      <c r="F923" s="10">
        <v>22</v>
      </c>
      <c r="G923" s="10"/>
      <c r="H923" s="58" t="s">
        <v>18</v>
      </c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4.25" customHeight="1" x14ac:dyDescent="0.3">
      <c r="A924" s="8"/>
      <c r="B924" s="86">
        <v>45680</v>
      </c>
      <c r="C924" s="26" t="s">
        <v>162</v>
      </c>
      <c r="D924" s="25" t="s">
        <v>166</v>
      </c>
      <c r="E924" s="11" t="s">
        <v>163</v>
      </c>
      <c r="F924" s="10">
        <v>8</v>
      </c>
      <c r="G924" s="10"/>
      <c r="H924" s="58" t="s">
        <v>18</v>
      </c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4.25" customHeight="1" x14ac:dyDescent="0.3">
      <c r="A925" s="8"/>
      <c r="B925" s="86">
        <v>45680</v>
      </c>
      <c r="C925" s="9" t="s">
        <v>61</v>
      </c>
      <c r="D925" s="9" t="s">
        <v>20</v>
      </c>
      <c r="E925" s="18" t="s">
        <v>62</v>
      </c>
      <c r="F925" s="10">
        <v>15</v>
      </c>
      <c r="G925" s="10"/>
      <c r="H925" s="58" t="s">
        <v>18</v>
      </c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4.25" customHeight="1" x14ac:dyDescent="0.3">
      <c r="A926" s="8"/>
      <c r="B926" s="86">
        <v>45680</v>
      </c>
      <c r="C926" s="18" t="s">
        <v>164</v>
      </c>
      <c r="D926" s="9" t="s">
        <v>12</v>
      </c>
      <c r="E926" s="11" t="s">
        <v>165</v>
      </c>
      <c r="F926" s="10">
        <v>5</v>
      </c>
      <c r="G926" s="10"/>
      <c r="H926" s="58" t="s">
        <v>18</v>
      </c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4.25" customHeight="1" x14ac:dyDescent="0.3">
      <c r="A927" s="8"/>
      <c r="B927" s="86">
        <v>45681</v>
      </c>
      <c r="C927" s="9" t="s">
        <v>39</v>
      </c>
      <c r="D927" s="9" t="s">
        <v>20</v>
      </c>
      <c r="E927" s="57" t="s">
        <v>40</v>
      </c>
      <c r="F927" s="10">
        <v>7.5</v>
      </c>
      <c r="G927" s="10"/>
      <c r="H927" s="58" t="s">
        <v>18</v>
      </c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4.25" customHeight="1" x14ac:dyDescent="0.3">
      <c r="A928" s="8"/>
      <c r="B928" s="86">
        <v>45681</v>
      </c>
      <c r="C928" s="9" t="s">
        <v>41</v>
      </c>
      <c r="D928" s="9" t="s">
        <v>20</v>
      </c>
      <c r="E928" s="57" t="s">
        <v>42</v>
      </c>
      <c r="F928" s="10">
        <v>7.5</v>
      </c>
      <c r="G928" s="10"/>
      <c r="H928" s="58" t="s">
        <v>18</v>
      </c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4.25" customHeight="1" x14ac:dyDescent="0.3">
      <c r="A929" s="8"/>
      <c r="B929" s="86">
        <v>45681</v>
      </c>
      <c r="C929" s="20" t="s">
        <v>128</v>
      </c>
      <c r="D929" s="18" t="s">
        <v>12</v>
      </c>
      <c r="E929" s="18" t="s">
        <v>129</v>
      </c>
      <c r="F929" s="10">
        <v>18</v>
      </c>
      <c r="G929" s="10"/>
      <c r="H929" s="58" t="s">
        <v>18</v>
      </c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4.25" customHeight="1" x14ac:dyDescent="0.3">
      <c r="A930" s="89"/>
      <c r="B930" s="86">
        <v>45681</v>
      </c>
      <c r="C930" s="9" t="s">
        <v>114</v>
      </c>
      <c r="D930" s="9" t="s">
        <v>12</v>
      </c>
      <c r="E930" s="18" t="s">
        <v>23</v>
      </c>
      <c r="F930" s="58">
        <v>10</v>
      </c>
      <c r="G930" s="58"/>
      <c r="H930" s="58" t="s">
        <v>18</v>
      </c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</row>
    <row r="931" spans="1:26" ht="14.25" customHeight="1" x14ac:dyDescent="0.3">
      <c r="A931" s="8"/>
      <c r="B931" s="86">
        <v>45681</v>
      </c>
      <c r="C931" s="9" t="s">
        <v>121</v>
      </c>
      <c r="D931" s="9" t="s">
        <v>20</v>
      </c>
      <c r="E931" s="18" t="s">
        <v>21</v>
      </c>
      <c r="F931" s="10">
        <v>5</v>
      </c>
      <c r="G931" s="10"/>
      <c r="H931" s="58" t="s">
        <v>18</v>
      </c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4.25" customHeight="1" x14ac:dyDescent="0.3">
      <c r="A932" s="8"/>
      <c r="B932" s="86">
        <v>45681</v>
      </c>
      <c r="C932" s="18" t="s">
        <v>131</v>
      </c>
      <c r="D932" s="18" t="s">
        <v>20</v>
      </c>
      <c r="E932" s="18" t="s">
        <v>132</v>
      </c>
      <c r="F932" s="10">
        <v>19</v>
      </c>
      <c r="G932" s="10"/>
      <c r="H932" s="58" t="s">
        <v>18</v>
      </c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4.25" customHeight="1" x14ac:dyDescent="0.3">
      <c r="A933" s="8"/>
      <c r="B933" s="86">
        <v>45681</v>
      </c>
      <c r="C933" s="9" t="s">
        <v>30</v>
      </c>
      <c r="D933" s="9" t="s">
        <v>8</v>
      </c>
      <c r="E933" s="57" t="s">
        <v>31</v>
      </c>
      <c r="F933" s="10">
        <v>1</v>
      </c>
      <c r="G933" s="10"/>
      <c r="H933" s="58" t="s">
        <v>18</v>
      </c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4.25" customHeight="1" x14ac:dyDescent="0.3">
      <c r="A934" s="8"/>
      <c r="B934" s="86">
        <v>45681</v>
      </c>
      <c r="C934" s="9" t="s">
        <v>7</v>
      </c>
      <c r="D934" s="9" t="s">
        <v>8</v>
      </c>
      <c r="E934" s="57" t="s">
        <v>9</v>
      </c>
      <c r="F934" s="10">
        <v>2</v>
      </c>
      <c r="G934" s="10"/>
      <c r="H934" s="58" t="s">
        <v>18</v>
      </c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4.25" customHeight="1" x14ac:dyDescent="0.3">
      <c r="A935" s="8"/>
      <c r="B935" s="86">
        <v>45681</v>
      </c>
      <c r="C935" s="90" t="s">
        <v>28</v>
      </c>
      <c r="D935" s="91" t="s">
        <v>8</v>
      </c>
      <c r="E935" s="92" t="s">
        <v>29</v>
      </c>
      <c r="F935" s="10">
        <v>2</v>
      </c>
      <c r="G935" s="10"/>
      <c r="H935" s="58" t="s">
        <v>18</v>
      </c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4.25" customHeight="1" x14ac:dyDescent="0.3">
      <c r="A936" s="8"/>
      <c r="B936" s="86">
        <v>45684</v>
      </c>
      <c r="C936" s="9" t="s">
        <v>39</v>
      </c>
      <c r="D936" s="9" t="s">
        <v>20</v>
      </c>
      <c r="E936" s="57" t="s">
        <v>40</v>
      </c>
      <c r="F936" s="10">
        <v>5</v>
      </c>
      <c r="G936" s="10"/>
      <c r="H936" s="58" t="s">
        <v>18</v>
      </c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4.25" customHeight="1" x14ac:dyDescent="0.3">
      <c r="A937" s="8"/>
      <c r="B937" s="86">
        <v>45684</v>
      </c>
      <c r="C937" s="18" t="s">
        <v>32</v>
      </c>
      <c r="D937" s="25" t="s">
        <v>33</v>
      </c>
      <c r="E937" s="18" t="s">
        <v>34</v>
      </c>
      <c r="F937" s="10">
        <v>1</v>
      </c>
      <c r="G937" s="10"/>
      <c r="H937" s="58" t="s">
        <v>18</v>
      </c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4.25" customHeight="1" x14ac:dyDescent="0.3">
      <c r="A938" s="8"/>
      <c r="B938" s="86">
        <v>45684</v>
      </c>
      <c r="C938" s="9" t="s">
        <v>133</v>
      </c>
      <c r="D938" s="9" t="s">
        <v>12</v>
      </c>
      <c r="E938" s="11" t="s">
        <v>129</v>
      </c>
      <c r="F938" s="10"/>
      <c r="G938" s="10">
        <v>18</v>
      </c>
      <c r="H938" s="58" t="s">
        <v>10</v>
      </c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4.25" customHeight="1" x14ac:dyDescent="0.3">
      <c r="A939" s="8"/>
      <c r="B939" s="86">
        <v>45684</v>
      </c>
      <c r="C939" s="9" t="s">
        <v>7</v>
      </c>
      <c r="D939" s="9" t="s">
        <v>8</v>
      </c>
      <c r="E939" s="57" t="s">
        <v>9</v>
      </c>
      <c r="F939" s="10"/>
      <c r="G939" s="10">
        <v>5</v>
      </c>
      <c r="H939" s="58" t="s">
        <v>10</v>
      </c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4.25" customHeight="1" x14ac:dyDescent="0.3">
      <c r="A940" s="8"/>
      <c r="B940" s="86">
        <v>45684</v>
      </c>
      <c r="C940" s="90" t="s">
        <v>28</v>
      </c>
      <c r="D940" s="91" t="s">
        <v>8</v>
      </c>
      <c r="E940" s="92" t="s">
        <v>29</v>
      </c>
      <c r="F940" s="10"/>
      <c r="G940" s="10">
        <v>2</v>
      </c>
      <c r="H940" s="58" t="s">
        <v>10</v>
      </c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4.25" customHeight="1" x14ac:dyDescent="0.3">
      <c r="A941" s="8"/>
      <c r="B941" s="86">
        <v>45684</v>
      </c>
      <c r="C941" s="9" t="s">
        <v>22</v>
      </c>
      <c r="D941" s="9" t="s">
        <v>12</v>
      </c>
      <c r="E941" s="11" t="s">
        <v>23</v>
      </c>
      <c r="F941" s="10"/>
      <c r="G941" s="10">
        <v>10</v>
      </c>
      <c r="H941" s="10" t="s">
        <v>10</v>
      </c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4.25" customHeight="1" x14ac:dyDescent="0.3">
      <c r="A942" s="8"/>
      <c r="B942" s="86">
        <v>45684</v>
      </c>
      <c r="C942" s="20" t="s">
        <v>189</v>
      </c>
      <c r="D942" s="9" t="s">
        <v>12</v>
      </c>
      <c r="E942" s="11" t="s">
        <v>92</v>
      </c>
      <c r="F942" s="10"/>
      <c r="G942" s="10">
        <v>74</v>
      </c>
      <c r="H942" s="10" t="s">
        <v>10</v>
      </c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4.25" customHeight="1" x14ac:dyDescent="0.3">
      <c r="A943" s="8"/>
      <c r="B943" s="86">
        <v>45684</v>
      </c>
      <c r="C943" s="9" t="s">
        <v>43</v>
      </c>
      <c r="D943" s="9" t="s">
        <v>20</v>
      </c>
      <c r="E943" s="57" t="s">
        <v>44</v>
      </c>
      <c r="F943" s="10">
        <v>7</v>
      </c>
      <c r="G943" s="10"/>
      <c r="H943" s="10" t="s">
        <v>18</v>
      </c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4.25" customHeight="1" x14ac:dyDescent="0.3">
      <c r="A944" s="8"/>
      <c r="B944" s="86">
        <v>45684</v>
      </c>
      <c r="C944" s="9" t="s">
        <v>39</v>
      </c>
      <c r="D944" s="9" t="s">
        <v>20</v>
      </c>
      <c r="E944" s="57" t="s">
        <v>40</v>
      </c>
      <c r="F944" s="10"/>
      <c r="G944" s="10">
        <v>14.5</v>
      </c>
      <c r="H944" s="10" t="s">
        <v>10</v>
      </c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4.25" customHeight="1" x14ac:dyDescent="0.3">
      <c r="A945" s="8"/>
      <c r="B945" s="86">
        <v>45684</v>
      </c>
      <c r="C945" s="9" t="s">
        <v>41</v>
      </c>
      <c r="D945" s="9" t="s">
        <v>20</v>
      </c>
      <c r="E945" s="57" t="s">
        <v>42</v>
      </c>
      <c r="F945" s="10"/>
      <c r="G945" s="10">
        <v>10.4</v>
      </c>
      <c r="H945" s="10" t="s">
        <v>10</v>
      </c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4.25" customHeight="1" x14ac:dyDescent="0.3">
      <c r="A946" s="8"/>
      <c r="B946" s="86">
        <v>45684</v>
      </c>
      <c r="C946" s="9" t="s">
        <v>51</v>
      </c>
      <c r="D946" s="9" t="s">
        <v>20</v>
      </c>
      <c r="E946" s="11" t="s">
        <v>52</v>
      </c>
      <c r="F946" s="10"/>
      <c r="G946" s="10">
        <f>5-2.2</f>
        <v>2.8</v>
      </c>
      <c r="H946" s="10" t="s">
        <v>10</v>
      </c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4.25" customHeight="1" x14ac:dyDescent="0.3">
      <c r="A947" s="8"/>
      <c r="B947" s="86">
        <v>45684</v>
      </c>
      <c r="C947" s="9" t="s">
        <v>121</v>
      </c>
      <c r="D947" s="9" t="s">
        <v>20</v>
      </c>
      <c r="E947" s="11" t="s">
        <v>21</v>
      </c>
      <c r="F947" s="10"/>
      <c r="G947" s="10">
        <v>5</v>
      </c>
      <c r="H947" s="10" t="s">
        <v>10</v>
      </c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4.25" customHeight="1" x14ac:dyDescent="0.3">
      <c r="A948" s="8"/>
      <c r="B948" s="86">
        <v>45684</v>
      </c>
      <c r="C948" s="9" t="s">
        <v>80</v>
      </c>
      <c r="D948" s="9" t="s">
        <v>71</v>
      </c>
      <c r="E948" s="11" t="s">
        <v>81</v>
      </c>
      <c r="F948" s="10"/>
      <c r="G948" s="10">
        <v>1</v>
      </c>
      <c r="H948" s="10" t="s">
        <v>10</v>
      </c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4.25" customHeight="1" x14ac:dyDescent="0.3">
      <c r="A949" s="8"/>
      <c r="B949" s="86">
        <v>45684</v>
      </c>
      <c r="C949" s="9" t="s">
        <v>53</v>
      </c>
      <c r="D949" s="9" t="s">
        <v>12</v>
      </c>
      <c r="E949" s="11" t="s">
        <v>54</v>
      </c>
      <c r="F949" s="10"/>
      <c r="G949" s="10">
        <v>14</v>
      </c>
      <c r="H949" s="10" t="s">
        <v>10</v>
      </c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4.25" customHeight="1" x14ac:dyDescent="0.3">
      <c r="A950" s="8"/>
      <c r="B950" s="86">
        <v>45684</v>
      </c>
      <c r="C950" s="14" t="s">
        <v>110</v>
      </c>
      <c r="D950" s="9" t="s">
        <v>12</v>
      </c>
      <c r="E950" s="11" t="s">
        <v>111</v>
      </c>
      <c r="F950" s="10">
        <v>21</v>
      </c>
      <c r="G950" s="10"/>
      <c r="H950" s="10" t="s">
        <v>18</v>
      </c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4.25" customHeight="1" x14ac:dyDescent="0.3">
      <c r="A951" s="8"/>
      <c r="B951" s="94">
        <v>45684</v>
      </c>
      <c r="C951" s="18" t="s">
        <v>115</v>
      </c>
      <c r="D951" s="25" t="s">
        <v>166</v>
      </c>
      <c r="E951" s="11" t="s">
        <v>116</v>
      </c>
      <c r="F951" s="10"/>
      <c r="G951" s="10">
        <v>2</v>
      </c>
      <c r="H951" s="10" t="s">
        <v>10</v>
      </c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4.25" customHeight="1" x14ac:dyDescent="0.3">
      <c r="A952" s="8"/>
      <c r="B952" s="94">
        <v>45684</v>
      </c>
      <c r="C952" s="18" t="s">
        <v>164</v>
      </c>
      <c r="D952" s="18" t="s">
        <v>12</v>
      </c>
      <c r="E952" s="18" t="s">
        <v>165</v>
      </c>
      <c r="F952" s="10"/>
      <c r="G952" s="10">
        <v>5</v>
      </c>
      <c r="H952" s="10" t="s">
        <v>10</v>
      </c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4.25" customHeight="1" x14ac:dyDescent="0.3">
      <c r="A953" s="8"/>
      <c r="B953" s="94">
        <v>45684</v>
      </c>
      <c r="C953" s="18" t="s">
        <v>131</v>
      </c>
      <c r="D953" s="18" t="s">
        <v>20</v>
      </c>
      <c r="E953" s="18" t="s">
        <v>132</v>
      </c>
      <c r="F953" s="10"/>
      <c r="G953" s="10">
        <v>19</v>
      </c>
      <c r="H953" s="10" t="s">
        <v>10</v>
      </c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4.25" customHeight="1" x14ac:dyDescent="0.3">
      <c r="A954" s="8"/>
      <c r="B954" s="86">
        <v>45685</v>
      </c>
      <c r="C954" s="9" t="s">
        <v>51</v>
      </c>
      <c r="D954" s="9" t="s">
        <v>20</v>
      </c>
      <c r="E954" s="57" t="s">
        <v>52</v>
      </c>
      <c r="F954" s="10">
        <v>2</v>
      </c>
      <c r="G954" s="10"/>
      <c r="H954" s="10" t="s">
        <v>18</v>
      </c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4.25" customHeight="1" x14ac:dyDescent="0.3">
      <c r="A955" s="8"/>
      <c r="B955" s="86">
        <v>45685</v>
      </c>
      <c r="C955" s="18" t="s">
        <v>79</v>
      </c>
      <c r="D955" s="18" t="s">
        <v>20</v>
      </c>
      <c r="E955" s="18" t="s">
        <v>82</v>
      </c>
      <c r="F955" s="10">
        <v>9.1999999999999993</v>
      </c>
      <c r="G955" s="10"/>
      <c r="H955" s="10" t="s">
        <v>18</v>
      </c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4.25" customHeight="1" x14ac:dyDescent="0.3">
      <c r="A956" s="8"/>
      <c r="B956" s="86">
        <v>45685</v>
      </c>
      <c r="C956" s="9" t="s">
        <v>28</v>
      </c>
      <c r="D956" s="9" t="s">
        <v>8</v>
      </c>
      <c r="E956" s="57" t="s">
        <v>29</v>
      </c>
      <c r="F956" s="10"/>
      <c r="G956" s="10">
        <v>1</v>
      </c>
      <c r="H956" s="10" t="s">
        <v>10</v>
      </c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4.25" customHeight="1" x14ac:dyDescent="0.3">
      <c r="A957" s="8"/>
      <c r="B957" s="86">
        <v>45685</v>
      </c>
      <c r="C957" s="9" t="s">
        <v>7</v>
      </c>
      <c r="D957" s="9" t="s">
        <v>8</v>
      </c>
      <c r="E957" s="57" t="s">
        <v>9</v>
      </c>
      <c r="F957" s="10">
        <v>2</v>
      </c>
      <c r="G957" s="10"/>
      <c r="H957" s="10" t="s">
        <v>18</v>
      </c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4.25" customHeight="1" x14ac:dyDescent="0.3">
      <c r="A958" s="8"/>
      <c r="B958" s="86">
        <v>45685</v>
      </c>
      <c r="C958" s="90" t="s">
        <v>30</v>
      </c>
      <c r="D958" s="91" t="s">
        <v>8</v>
      </c>
      <c r="E958" s="92" t="s">
        <v>31</v>
      </c>
      <c r="F958" s="10"/>
      <c r="G958" s="10">
        <v>1</v>
      </c>
      <c r="H958" s="10" t="s">
        <v>10</v>
      </c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4.25" customHeight="1" x14ac:dyDescent="0.3">
      <c r="A959" s="8"/>
      <c r="B959" s="86">
        <v>45687</v>
      </c>
      <c r="C959" s="20" t="s">
        <v>189</v>
      </c>
      <c r="D959" s="18" t="s">
        <v>12</v>
      </c>
      <c r="E959" s="18" t="s">
        <v>92</v>
      </c>
      <c r="F959" s="10"/>
      <c r="G959" s="10">
        <v>22</v>
      </c>
      <c r="H959" s="10" t="s">
        <v>10</v>
      </c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4.25" customHeight="1" x14ac:dyDescent="0.3">
      <c r="A960" s="8"/>
      <c r="B960" s="86">
        <v>45687</v>
      </c>
      <c r="C960" s="9" t="s">
        <v>77</v>
      </c>
      <c r="D960" s="9" t="s">
        <v>20</v>
      </c>
      <c r="E960" s="11" t="s">
        <v>78</v>
      </c>
      <c r="F960" s="10"/>
      <c r="G960" s="10">
        <v>1</v>
      </c>
      <c r="H960" s="10" t="s">
        <v>10</v>
      </c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4.25" customHeight="1" x14ac:dyDescent="0.3">
      <c r="A961" s="8"/>
      <c r="B961" s="86">
        <v>45687</v>
      </c>
      <c r="C961" s="9" t="s">
        <v>51</v>
      </c>
      <c r="D961" s="9" t="s">
        <v>20</v>
      </c>
      <c r="E961" s="57" t="s">
        <v>52</v>
      </c>
      <c r="F961" s="10"/>
      <c r="G961" s="10">
        <f>5-2.1</f>
        <v>2.9</v>
      </c>
      <c r="H961" s="10" t="s">
        <v>10</v>
      </c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4.25" customHeight="1" x14ac:dyDescent="0.3">
      <c r="A962" s="8"/>
      <c r="B962" s="86">
        <v>45687</v>
      </c>
      <c r="C962" s="9" t="s">
        <v>73</v>
      </c>
      <c r="D962" s="9" t="s">
        <v>71</v>
      </c>
      <c r="E962" s="11" t="s">
        <v>74</v>
      </c>
      <c r="F962" s="10"/>
      <c r="G962" s="10">
        <v>1</v>
      </c>
      <c r="H962" s="10" t="s">
        <v>10</v>
      </c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4.25" customHeight="1" x14ac:dyDescent="0.3">
      <c r="A963" s="8"/>
      <c r="B963" s="86">
        <v>45687</v>
      </c>
      <c r="C963" s="9" t="s">
        <v>39</v>
      </c>
      <c r="D963" s="9" t="s">
        <v>20</v>
      </c>
      <c r="E963" s="57" t="s">
        <v>40</v>
      </c>
      <c r="F963" s="10">
        <v>2</v>
      </c>
      <c r="G963" s="10"/>
      <c r="H963" s="10" t="s">
        <v>18</v>
      </c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4.25" customHeight="1" x14ac:dyDescent="0.3">
      <c r="A964" s="8"/>
      <c r="B964" s="86">
        <v>45687</v>
      </c>
      <c r="C964" s="9" t="s">
        <v>41</v>
      </c>
      <c r="D964" s="9" t="s">
        <v>20</v>
      </c>
      <c r="E964" s="57" t="s">
        <v>42</v>
      </c>
      <c r="F964" s="10">
        <v>2</v>
      </c>
      <c r="G964" s="10"/>
      <c r="H964" s="10" t="s">
        <v>18</v>
      </c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4.25" customHeight="1" x14ac:dyDescent="0.3">
      <c r="A965" s="8"/>
      <c r="B965" s="86">
        <v>45687</v>
      </c>
      <c r="C965" s="9" t="s">
        <v>45</v>
      </c>
      <c r="D965" s="9" t="s">
        <v>12</v>
      </c>
      <c r="E965" s="11" t="s">
        <v>59</v>
      </c>
      <c r="F965" s="10"/>
      <c r="G965" s="10">
        <v>16</v>
      </c>
      <c r="H965" s="10" t="s">
        <v>10</v>
      </c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4.25" customHeight="1" x14ac:dyDescent="0.3">
      <c r="A966" s="8"/>
      <c r="B966" s="86">
        <v>45687</v>
      </c>
      <c r="C966" s="26" t="s">
        <v>162</v>
      </c>
      <c r="D966" s="25" t="s">
        <v>166</v>
      </c>
      <c r="E966" s="57" t="s">
        <v>163</v>
      </c>
      <c r="F966" s="10"/>
      <c r="G966" s="10">
        <v>2</v>
      </c>
      <c r="H966" s="10" t="s">
        <v>10</v>
      </c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4.25" customHeight="1" x14ac:dyDescent="0.3">
      <c r="A967" s="8"/>
      <c r="B967" s="86">
        <v>45687</v>
      </c>
      <c r="C967" s="14" t="s">
        <v>110</v>
      </c>
      <c r="D967" s="18" t="s">
        <v>12</v>
      </c>
      <c r="E967" s="18" t="s">
        <v>111</v>
      </c>
      <c r="F967" s="10"/>
      <c r="G967" s="10">
        <v>20</v>
      </c>
      <c r="H967" s="10" t="s">
        <v>10</v>
      </c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4.25" customHeight="1" x14ac:dyDescent="0.3">
      <c r="A968" s="8"/>
      <c r="B968" s="86">
        <v>45688</v>
      </c>
      <c r="C968" s="9" t="s">
        <v>55</v>
      </c>
      <c r="D968" s="18" t="s">
        <v>12</v>
      </c>
      <c r="E968" s="11" t="s">
        <v>56</v>
      </c>
      <c r="F968" s="10"/>
      <c r="G968" s="10">
        <v>10</v>
      </c>
      <c r="H968" s="58" t="s">
        <v>10</v>
      </c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4.25" customHeight="1" x14ac:dyDescent="0.3">
      <c r="A969" s="8"/>
      <c r="B969" s="86">
        <v>45688</v>
      </c>
      <c r="C969" s="9" t="s">
        <v>127</v>
      </c>
      <c r="D969" s="18" t="s">
        <v>12</v>
      </c>
      <c r="E969" s="11" t="s">
        <v>99</v>
      </c>
      <c r="F969" s="10"/>
      <c r="G969" s="10">
        <v>11</v>
      </c>
      <c r="H969" s="58" t="s">
        <v>10</v>
      </c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4.25" customHeight="1" x14ac:dyDescent="0.3">
      <c r="A970" s="8"/>
      <c r="B970" s="86">
        <v>45688</v>
      </c>
      <c r="C970" s="9" t="s">
        <v>11</v>
      </c>
      <c r="D970" s="18" t="s">
        <v>12</v>
      </c>
      <c r="E970" s="11" t="s">
        <v>13</v>
      </c>
      <c r="F970" s="10"/>
      <c r="G970" s="10">
        <v>3</v>
      </c>
      <c r="H970" s="58" t="s">
        <v>10</v>
      </c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4.25" customHeight="1" x14ac:dyDescent="0.3">
      <c r="A971" s="8"/>
      <c r="B971" s="86">
        <v>45688</v>
      </c>
      <c r="C971" s="9" t="s">
        <v>57</v>
      </c>
      <c r="D971" s="18" t="s">
        <v>12</v>
      </c>
      <c r="E971" s="11" t="s">
        <v>58</v>
      </c>
      <c r="F971" s="10"/>
      <c r="G971" s="10">
        <v>12</v>
      </c>
      <c r="H971" s="58" t="s">
        <v>10</v>
      </c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4.25" customHeight="1" x14ac:dyDescent="0.3">
      <c r="A972" s="8"/>
      <c r="B972" s="86">
        <v>45688</v>
      </c>
      <c r="C972" s="9" t="s">
        <v>45</v>
      </c>
      <c r="D972" s="18" t="s">
        <v>12</v>
      </c>
      <c r="E972" s="11" t="s">
        <v>59</v>
      </c>
      <c r="F972" s="10"/>
      <c r="G972" s="10">
        <v>6</v>
      </c>
      <c r="H972" s="58" t="s">
        <v>10</v>
      </c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4.25" customHeight="1" x14ac:dyDescent="0.3">
      <c r="A973" s="8"/>
      <c r="B973" s="86">
        <v>45688</v>
      </c>
      <c r="C973" s="9" t="s">
        <v>7</v>
      </c>
      <c r="D973" s="9" t="s">
        <v>8</v>
      </c>
      <c r="E973" s="57" t="s">
        <v>9</v>
      </c>
      <c r="F973" s="10"/>
      <c r="G973" s="10">
        <v>1</v>
      </c>
      <c r="H973" s="58" t="s">
        <v>10</v>
      </c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4.25" customHeight="1" x14ac:dyDescent="0.3">
      <c r="A974" s="89"/>
      <c r="B974" s="86">
        <v>45688</v>
      </c>
      <c r="C974" s="9" t="s">
        <v>28</v>
      </c>
      <c r="D974" s="9" t="s">
        <v>8</v>
      </c>
      <c r="E974" s="57" t="s">
        <v>29</v>
      </c>
      <c r="F974" s="58"/>
      <c r="G974" s="58">
        <v>1</v>
      </c>
      <c r="H974" s="58" t="s">
        <v>10</v>
      </c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</row>
    <row r="975" spans="1:26" ht="14.25" customHeight="1" x14ac:dyDescent="0.3">
      <c r="A975" s="8"/>
      <c r="B975" s="86">
        <v>45688</v>
      </c>
      <c r="C975" s="9" t="s">
        <v>7</v>
      </c>
      <c r="D975" s="9" t="s">
        <v>8</v>
      </c>
      <c r="E975" s="57" t="s">
        <v>9</v>
      </c>
      <c r="F975" s="10">
        <v>2</v>
      </c>
      <c r="G975" s="10"/>
      <c r="H975" s="10" t="s">
        <v>18</v>
      </c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4.25" customHeight="1" x14ac:dyDescent="0.3">
      <c r="A976" s="8"/>
      <c r="B976" s="86">
        <v>45688</v>
      </c>
      <c r="C976" s="9" t="s">
        <v>28</v>
      </c>
      <c r="D976" s="9" t="s">
        <v>8</v>
      </c>
      <c r="E976" s="57" t="s">
        <v>29</v>
      </c>
      <c r="F976" s="10">
        <v>3</v>
      </c>
      <c r="G976" s="10"/>
      <c r="H976" s="10" t="s">
        <v>18</v>
      </c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4.25" customHeight="1" x14ac:dyDescent="0.3">
      <c r="A977" s="8"/>
      <c r="B977" s="86">
        <v>45688</v>
      </c>
      <c r="C977" s="9" t="s">
        <v>39</v>
      </c>
      <c r="D977" s="9" t="s">
        <v>20</v>
      </c>
      <c r="E977" s="57" t="s">
        <v>40</v>
      </c>
      <c r="F977" s="10">
        <v>5</v>
      </c>
      <c r="G977" s="10"/>
      <c r="H977" s="58" t="s">
        <v>18</v>
      </c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4.25" customHeight="1" x14ac:dyDescent="0.3">
      <c r="A978" s="8"/>
      <c r="B978" s="86">
        <v>45688</v>
      </c>
      <c r="C978" s="9" t="s">
        <v>41</v>
      </c>
      <c r="D978" s="9" t="s">
        <v>20</v>
      </c>
      <c r="E978" s="57" t="s">
        <v>42</v>
      </c>
      <c r="F978" s="10">
        <v>5</v>
      </c>
      <c r="G978" s="10"/>
      <c r="H978" s="58" t="s">
        <v>18</v>
      </c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4.25" customHeight="1" x14ac:dyDescent="0.3">
      <c r="A979" s="8"/>
      <c r="B979" s="86">
        <v>45688</v>
      </c>
      <c r="C979" s="9" t="s">
        <v>51</v>
      </c>
      <c r="D979" s="9" t="s">
        <v>20</v>
      </c>
      <c r="E979" s="57" t="s">
        <v>52</v>
      </c>
      <c r="F979" s="10">
        <v>10</v>
      </c>
      <c r="G979" s="10"/>
      <c r="H979" s="58" t="s">
        <v>18</v>
      </c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4.25" customHeight="1" x14ac:dyDescent="0.3">
      <c r="A980" s="8"/>
      <c r="B980" s="86">
        <v>45688</v>
      </c>
      <c r="C980" s="14" t="s">
        <v>126</v>
      </c>
      <c r="D980" s="18" t="s">
        <v>12</v>
      </c>
      <c r="E980" s="11" t="s">
        <v>97</v>
      </c>
      <c r="F980" s="10">
        <f>6*4</f>
        <v>24</v>
      </c>
      <c r="G980" s="10"/>
      <c r="H980" s="58" t="s">
        <v>18</v>
      </c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4.25" customHeight="1" x14ac:dyDescent="0.3">
      <c r="A981" s="8"/>
      <c r="B981" s="86">
        <v>45688</v>
      </c>
      <c r="C981" s="26" t="s">
        <v>68</v>
      </c>
      <c r="D981" s="18" t="s">
        <v>12</v>
      </c>
      <c r="E981" s="11" t="s">
        <v>69</v>
      </c>
      <c r="F981" s="10">
        <v>8</v>
      </c>
      <c r="G981" s="10"/>
      <c r="H981" s="58" t="s">
        <v>18</v>
      </c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4.25" customHeight="1" x14ac:dyDescent="0.3">
      <c r="A982" s="8"/>
      <c r="B982" s="86">
        <v>45688</v>
      </c>
      <c r="C982" s="9" t="s">
        <v>73</v>
      </c>
      <c r="D982" s="9" t="s">
        <v>71</v>
      </c>
      <c r="E982" s="11" t="s">
        <v>74</v>
      </c>
      <c r="F982" s="10">
        <v>3</v>
      </c>
      <c r="G982" s="10"/>
      <c r="H982" s="58" t="s">
        <v>18</v>
      </c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4.25" customHeight="1" x14ac:dyDescent="0.3">
      <c r="A983" s="8"/>
      <c r="B983" s="86">
        <v>45688</v>
      </c>
      <c r="C983" s="39" t="s">
        <v>90</v>
      </c>
      <c r="D983" s="18" t="s">
        <v>20</v>
      </c>
      <c r="E983" s="18" t="s">
        <v>91</v>
      </c>
      <c r="F983" s="10">
        <v>10</v>
      </c>
      <c r="G983" s="10"/>
      <c r="H983" s="58" t="s">
        <v>18</v>
      </c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4.25" customHeight="1" x14ac:dyDescent="0.3">
      <c r="A984" s="8"/>
      <c r="B984" s="86">
        <v>45689</v>
      </c>
      <c r="C984" s="9" t="s">
        <v>39</v>
      </c>
      <c r="D984" s="9" t="s">
        <v>20</v>
      </c>
      <c r="E984" s="57" t="s">
        <v>40</v>
      </c>
      <c r="F984" s="10">
        <v>5</v>
      </c>
      <c r="G984" s="10"/>
      <c r="H984" s="58" t="s">
        <v>18</v>
      </c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4.25" customHeight="1" x14ac:dyDescent="0.3">
      <c r="A985" s="8"/>
      <c r="B985" s="86">
        <v>45689</v>
      </c>
      <c r="C985" s="9" t="s">
        <v>41</v>
      </c>
      <c r="D985" s="9" t="s">
        <v>20</v>
      </c>
      <c r="E985" s="57" t="s">
        <v>42</v>
      </c>
      <c r="F985" s="10">
        <v>5</v>
      </c>
      <c r="G985" s="10"/>
      <c r="H985" s="58" t="s">
        <v>18</v>
      </c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4.25" customHeight="1" x14ac:dyDescent="0.3">
      <c r="A986" s="8"/>
      <c r="B986" s="86">
        <v>45689</v>
      </c>
      <c r="C986" s="9" t="s">
        <v>30</v>
      </c>
      <c r="D986" s="9" t="s">
        <v>8</v>
      </c>
      <c r="E986" s="11" t="s">
        <v>31</v>
      </c>
      <c r="F986" s="10">
        <v>1</v>
      </c>
      <c r="G986" s="10"/>
      <c r="H986" s="58" t="s">
        <v>18</v>
      </c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4.25" customHeight="1" x14ac:dyDescent="0.3">
      <c r="A987" s="8"/>
      <c r="B987" s="86">
        <v>45689</v>
      </c>
      <c r="C987" s="9" t="s">
        <v>75</v>
      </c>
      <c r="D987" s="9" t="s">
        <v>8</v>
      </c>
      <c r="E987" s="11" t="s">
        <v>76</v>
      </c>
      <c r="F987" s="10">
        <v>1</v>
      </c>
      <c r="G987" s="10"/>
      <c r="H987" s="58" t="s">
        <v>18</v>
      </c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4.25" customHeight="1" x14ac:dyDescent="0.3">
      <c r="A988" s="89"/>
      <c r="B988" s="86">
        <v>45689</v>
      </c>
      <c r="C988" s="9" t="s">
        <v>45</v>
      </c>
      <c r="D988" s="18" t="s">
        <v>12</v>
      </c>
      <c r="E988" s="57" t="s">
        <v>59</v>
      </c>
      <c r="F988" s="58"/>
      <c r="G988" s="58">
        <v>32</v>
      </c>
      <c r="H988" s="58" t="s">
        <v>10</v>
      </c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</row>
    <row r="989" spans="1:26" ht="14.25" customHeight="1" x14ac:dyDescent="0.3">
      <c r="A989" s="89"/>
      <c r="B989" s="86">
        <v>45689</v>
      </c>
      <c r="C989" s="9" t="s">
        <v>30</v>
      </c>
      <c r="D989" s="9" t="s">
        <v>8</v>
      </c>
      <c r="E989" s="57" t="s">
        <v>31</v>
      </c>
      <c r="F989" s="58"/>
      <c r="G989" s="58">
        <v>1</v>
      </c>
      <c r="H989" s="58" t="s">
        <v>10</v>
      </c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</row>
    <row r="990" spans="1:26" ht="14.25" customHeight="1" x14ac:dyDescent="0.3">
      <c r="A990" s="89"/>
      <c r="B990" s="86">
        <v>45689</v>
      </c>
      <c r="C990" s="9" t="s">
        <v>7</v>
      </c>
      <c r="D990" s="9" t="s">
        <v>8</v>
      </c>
      <c r="E990" s="57" t="s">
        <v>9</v>
      </c>
      <c r="F990" s="58"/>
      <c r="G990" s="58">
        <v>1</v>
      </c>
      <c r="H990" s="58" t="s">
        <v>10</v>
      </c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</row>
    <row r="991" spans="1:26" ht="14.25" customHeight="1" x14ac:dyDescent="0.3">
      <c r="A991" s="89"/>
      <c r="B991" s="86">
        <v>45689</v>
      </c>
      <c r="C991" s="9" t="s">
        <v>28</v>
      </c>
      <c r="D991" s="9" t="s">
        <v>8</v>
      </c>
      <c r="E991" s="57" t="s">
        <v>29</v>
      </c>
      <c r="F991" s="58"/>
      <c r="G991" s="58">
        <v>1</v>
      </c>
      <c r="H991" s="58" t="s">
        <v>10</v>
      </c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</row>
    <row r="992" spans="1:26" ht="14.25" customHeight="1" x14ac:dyDescent="0.3">
      <c r="A992" s="8"/>
      <c r="B992" s="86">
        <v>45690</v>
      </c>
      <c r="C992" s="9" t="s">
        <v>30</v>
      </c>
      <c r="D992" s="9" t="s">
        <v>8</v>
      </c>
      <c r="E992" s="57" t="s">
        <v>31</v>
      </c>
      <c r="F992" s="58">
        <v>1</v>
      </c>
      <c r="G992" s="10"/>
      <c r="H992" s="58" t="s">
        <v>18</v>
      </c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4.25" customHeight="1" x14ac:dyDescent="0.3">
      <c r="A993" s="8"/>
      <c r="B993" s="86">
        <v>45690</v>
      </c>
      <c r="C993" s="9" t="s">
        <v>45</v>
      </c>
      <c r="D993" s="9" t="s">
        <v>12</v>
      </c>
      <c r="E993" s="11" t="s">
        <v>59</v>
      </c>
      <c r="F993" s="10">
        <v>320</v>
      </c>
      <c r="G993" s="10"/>
      <c r="H993" s="58" t="s">
        <v>18</v>
      </c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4.25" customHeight="1" x14ac:dyDescent="0.3">
      <c r="A994" s="8"/>
      <c r="B994" s="86">
        <v>45690</v>
      </c>
      <c r="C994" s="9" t="s">
        <v>14</v>
      </c>
      <c r="D994" s="9" t="s">
        <v>12</v>
      </c>
      <c r="E994" s="11" t="s">
        <v>15</v>
      </c>
      <c r="F994" s="10">
        <v>28</v>
      </c>
      <c r="G994" s="10"/>
      <c r="H994" s="58" t="s">
        <v>18</v>
      </c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4.25" customHeight="1" x14ac:dyDescent="0.3">
      <c r="A995" s="8"/>
      <c r="B995" s="86">
        <v>45690</v>
      </c>
      <c r="C995" s="87" t="s">
        <v>167</v>
      </c>
      <c r="D995" s="88" t="s">
        <v>12</v>
      </c>
      <c r="E995" s="88" t="s">
        <v>168</v>
      </c>
      <c r="F995" s="10">
        <v>10</v>
      </c>
      <c r="G995" s="10"/>
      <c r="H995" s="58" t="s">
        <v>18</v>
      </c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4.25" customHeight="1" x14ac:dyDescent="0.3">
      <c r="A996" s="8"/>
      <c r="B996" s="86">
        <v>45690</v>
      </c>
      <c r="C996" s="9" t="s">
        <v>57</v>
      </c>
      <c r="D996" s="9" t="s">
        <v>12</v>
      </c>
      <c r="E996" s="57" t="s">
        <v>58</v>
      </c>
      <c r="F996" s="10"/>
      <c r="G996" s="10">
        <v>21</v>
      </c>
      <c r="H996" s="58" t="s">
        <v>10</v>
      </c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4.25" customHeight="1" x14ac:dyDescent="0.3">
      <c r="A997" s="8"/>
      <c r="B997" s="86">
        <v>45690</v>
      </c>
      <c r="C997" s="9" t="s">
        <v>55</v>
      </c>
      <c r="D997" s="9" t="s">
        <v>12</v>
      </c>
      <c r="E997" s="11" t="s">
        <v>56</v>
      </c>
      <c r="F997" s="10"/>
      <c r="G997" s="10">
        <v>22</v>
      </c>
      <c r="H997" s="58" t="s">
        <v>10</v>
      </c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4.25" customHeight="1" x14ac:dyDescent="0.3">
      <c r="A998" s="8"/>
      <c r="B998" s="86">
        <v>45690</v>
      </c>
      <c r="C998" s="9" t="s">
        <v>79</v>
      </c>
      <c r="D998" s="9" t="s">
        <v>20</v>
      </c>
      <c r="E998" s="11" t="s">
        <v>82</v>
      </c>
      <c r="F998" s="10"/>
      <c r="G998" s="10">
        <v>0.75</v>
      </c>
      <c r="H998" s="10" t="s">
        <v>10</v>
      </c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4.25" customHeight="1" x14ac:dyDescent="0.3">
      <c r="A999" s="8"/>
      <c r="B999" s="86">
        <v>45690</v>
      </c>
      <c r="C999" s="9" t="s">
        <v>45</v>
      </c>
      <c r="D999" s="18" t="s">
        <v>12</v>
      </c>
      <c r="E999" s="57" t="s">
        <v>59</v>
      </c>
      <c r="F999" s="10"/>
      <c r="G999" s="10">
        <v>32</v>
      </c>
      <c r="H999" s="10" t="s">
        <v>10</v>
      </c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4.25" customHeight="1" x14ac:dyDescent="0.3">
      <c r="A1000" s="8"/>
      <c r="B1000" s="86">
        <v>45691</v>
      </c>
      <c r="C1000" s="9" t="s">
        <v>39</v>
      </c>
      <c r="D1000" s="9" t="s">
        <v>20</v>
      </c>
      <c r="E1000" s="57" t="s">
        <v>40</v>
      </c>
      <c r="F1000" s="10">
        <v>5</v>
      </c>
      <c r="G1000" s="10"/>
      <c r="H1000" s="10" t="s">
        <v>18</v>
      </c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4.25" customHeight="1" x14ac:dyDescent="0.3">
      <c r="A1001" s="8"/>
      <c r="B1001" s="86">
        <v>45691</v>
      </c>
      <c r="C1001" s="9" t="s">
        <v>41</v>
      </c>
      <c r="D1001" s="9" t="s">
        <v>20</v>
      </c>
      <c r="E1001" s="57" t="s">
        <v>42</v>
      </c>
      <c r="F1001" s="10">
        <v>5</v>
      </c>
      <c r="G1001" s="10"/>
      <c r="H1001" s="10" t="s">
        <v>18</v>
      </c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4.25" customHeight="1" x14ac:dyDescent="0.3">
      <c r="A1002" s="8"/>
      <c r="B1002" s="86">
        <v>45691</v>
      </c>
      <c r="C1002" s="9" t="s">
        <v>28</v>
      </c>
      <c r="D1002" s="9" t="s">
        <v>8</v>
      </c>
      <c r="E1002" s="57" t="s">
        <v>29</v>
      </c>
      <c r="F1002" s="10">
        <v>3</v>
      </c>
      <c r="G1002" s="10"/>
      <c r="H1002" s="10" t="s">
        <v>18</v>
      </c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4.25" customHeight="1" x14ac:dyDescent="0.3">
      <c r="A1003" s="8"/>
      <c r="B1003" s="86">
        <v>45691</v>
      </c>
      <c r="C1003" s="9" t="s">
        <v>39</v>
      </c>
      <c r="D1003" s="9" t="s">
        <v>20</v>
      </c>
      <c r="E1003" s="57" t="s">
        <v>40</v>
      </c>
      <c r="F1003" s="58"/>
      <c r="G1003" s="10">
        <f>17-3.5</f>
        <v>13.5</v>
      </c>
      <c r="H1003" s="10" t="s">
        <v>10</v>
      </c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4.25" customHeight="1" x14ac:dyDescent="0.3">
      <c r="A1004" s="8"/>
      <c r="B1004" s="86">
        <v>45691</v>
      </c>
      <c r="C1004" s="9" t="s">
        <v>41</v>
      </c>
      <c r="D1004" s="9" t="s">
        <v>20</v>
      </c>
      <c r="E1004" s="57" t="s">
        <v>42</v>
      </c>
      <c r="F1004" s="58"/>
      <c r="G1004" s="10">
        <f>17.1-6</f>
        <v>11.100000000000001</v>
      </c>
      <c r="H1004" s="10" t="s">
        <v>10</v>
      </c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4.25" customHeight="1" x14ac:dyDescent="0.3">
      <c r="A1005" s="8"/>
      <c r="B1005" s="86">
        <v>45691</v>
      </c>
      <c r="C1005" s="9" t="s">
        <v>7</v>
      </c>
      <c r="D1005" s="9" t="s">
        <v>8</v>
      </c>
      <c r="E1005" s="57" t="s">
        <v>9</v>
      </c>
      <c r="F1005" s="10">
        <v>2</v>
      </c>
      <c r="G1005" s="10"/>
      <c r="H1005" s="10" t="s">
        <v>18</v>
      </c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4.25" customHeight="1" x14ac:dyDescent="0.3">
      <c r="A1006" s="8"/>
      <c r="B1006" s="86">
        <v>45691</v>
      </c>
      <c r="C1006" s="39" t="s">
        <v>83</v>
      </c>
      <c r="D1006" s="18" t="s">
        <v>20</v>
      </c>
      <c r="E1006" s="18" t="s">
        <v>84</v>
      </c>
      <c r="F1006" s="10">
        <v>10</v>
      </c>
      <c r="G1006" s="10"/>
      <c r="H1006" s="10" t="s">
        <v>18</v>
      </c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4.25" customHeight="1" x14ac:dyDescent="0.3">
      <c r="A1007" s="8"/>
      <c r="B1007" s="86">
        <v>45691</v>
      </c>
      <c r="C1007" s="9" t="s">
        <v>51</v>
      </c>
      <c r="D1007" s="9" t="s">
        <v>20</v>
      </c>
      <c r="E1007" s="57" t="s">
        <v>52</v>
      </c>
      <c r="F1007" s="10"/>
      <c r="G1007" s="10">
        <f>12-6.5</f>
        <v>5.5</v>
      </c>
      <c r="H1007" s="10" t="s">
        <v>10</v>
      </c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4.25" customHeight="1" x14ac:dyDescent="0.3">
      <c r="A1008" s="8"/>
      <c r="B1008" s="86">
        <v>45691</v>
      </c>
      <c r="C1008" s="9" t="s">
        <v>43</v>
      </c>
      <c r="D1008" s="9" t="s">
        <v>20</v>
      </c>
      <c r="E1008" s="57" t="s">
        <v>44</v>
      </c>
      <c r="F1008" s="10"/>
      <c r="G1008" s="10">
        <f>10-3.5</f>
        <v>6.5</v>
      </c>
      <c r="H1008" s="10" t="s">
        <v>10</v>
      </c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4.25" customHeight="1" x14ac:dyDescent="0.3">
      <c r="A1009" s="8"/>
      <c r="B1009" s="86">
        <v>45691</v>
      </c>
      <c r="C1009" s="9" t="s">
        <v>43</v>
      </c>
      <c r="D1009" s="9" t="s">
        <v>20</v>
      </c>
      <c r="E1009" s="57" t="s">
        <v>44</v>
      </c>
      <c r="F1009" s="10">
        <v>13</v>
      </c>
      <c r="G1009" s="10"/>
      <c r="H1009" s="10" t="s">
        <v>18</v>
      </c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spans="1:26" ht="14.25" customHeight="1" x14ac:dyDescent="0.3">
      <c r="A1010" s="8"/>
      <c r="B1010" s="86">
        <v>45691</v>
      </c>
      <c r="C1010" s="9" t="s">
        <v>28</v>
      </c>
      <c r="D1010" s="9" t="s">
        <v>8</v>
      </c>
      <c r="E1010" s="57" t="s">
        <v>29</v>
      </c>
      <c r="F1010" s="10"/>
      <c r="G1010" s="10">
        <v>2</v>
      </c>
      <c r="H1010" s="10" t="s">
        <v>10</v>
      </c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spans="1:26" ht="14.25" customHeight="1" x14ac:dyDescent="0.3">
      <c r="A1011" s="8"/>
      <c r="B1011" s="86">
        <v>45691</v>
      </c>
      <c r="C1011" s="9" t="s">
        <v>7</v>
      </c>
      <c r="D1011" s="9" t="s">
        <v>8</v>
      </c>
      <c r="E1011" s="57" t="s">
        <v>9</v>
      </c>
      <c r="F1011" s="10"/>
      <c r="G1011" s="10">
        <v>1</v>
      </c>
      <c r="H1011" s="10" t="s">
        <v>10</v>
      </c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spans="1:26" ht="14.25" customHeight="1" x14ac:dyDescent="0.3">
      <c r="A1012" s="8"/>
      <c r="B1012" s="86">
        <v>45691</v>
      </c>
      <c r="C1012" s="9" t="s">
        <v>73</v>
      </c>
      <c r="D1012" s="9" t="s">
        <v>71</v>
      </c>
      <c r="E1012" s="57" t="s">
        <v>74</v>
      </c>
      <c r="F1012" s="10"/>
      <c r="G1012" s="10">
        <v>2</v>
      </c>
      <c r="H1012" s="10" t="s">
        <v>10</v>
      </c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spans="1:26" ht="14.25" customHeight="1" x14ac:dyDescent="0.3">
      <c r="A1013" s="8"/>
      <c r="B1013" s="86">
        <v>45691</v>
      </c>
      <c r="C1013" s="8" t="s">
        <v>93</v>
      </c>
      <c r="D1013" s="18" t="s">
        <v>12</v>
      </c>
      <c r="E1013" s="18" t="s">
        <v>94</v>
      </c>
      <c r="F1013" s="10"/>
      <c r="G1013" s="10">
        <v>2</v>
      </c>
      <c r="H1013" s="10" t="s">
        <v>10</v>
      </c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spans="1:26" ht="14.25" customHeight="1" x14ac:dyDescent="0.3">
      <c r="A1014" s="8"/>
      <c r="B1014" s="86">
        <v>45691</v>
      </c>
      <c r="C1014" s="9" t="s">
        <v>70</v>
      </c>
      <c r="D1014" s="9" t="s">
        <v>71</v>
      </c>
      <c r="E1014" s="11" t="s">
        <v>72</v>
      </c>
      <c r="F1014" s="10"/>
      <c r="G1014" s="10">
        <v>1</v>
      </c>
      <c r="H1014" s="10" t="s">
        <v>10</v>
      </c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 spans="1:26" ht="14.25" customHeight="1" x14ac:dyDescent="0.3">
      <c r="A1015" s="8"/>
      <c r="B1015" s="86">
        <v>45691</v>
      </c>
      <c r="C1015" s="9" t="s">
        <v>68</v>
      </c>
      <c r="D1015" s="9" t="s">
        <v>12</v>
      </c>
      <c r="E1015" s="11" t="s">
        <v>69</v>
      </c>
      <c r="F1015" s="10"/>
      <c r="G1015" s="10">
        <v>22</v>
      </c>
      <c r="H1015" s="10" t="s">
        <v>10</v>
      </c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  <row r="1016" spans="1:26" ht="14.25" customHeight="1" x14ac:dyDescent="0.3">
      <c r="A1016" s="8"/>
      <c r="B1016" s="86">
        <v>45691</v>
      </c>
      <c r="C1016" s="9" t="s">
        <v>11</v>
      </c>
      <c r="D1016" s="9" t="s">
        <v>12</v>
      </c>
      <c r="E1016" s="11" t="s">
        <v>13</v>
      </c>
      <c r="F1016" s="10"/>
      <c r="G1016" s="10">
        <v>6</v>
      </c>
      <c r="H1016" s="10" t="s">
        <v>10</v>
      </c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</row>
    <row r="1017" spans="1:26" ht="14.25" customHeight="1" x14ac:dyDescent="0.3">
      <c r="A1017" s="8"/>
      <c r="B1017" s="86">
        <v>45691</v>
      </c>
      <c r="C1017" s="9" t="s">
        <v>95</v>
      </c>
      <c r="D1017" s="9" t="s">
        <v>12</v>
      </c>
      <c r="E1017" s="11" t="s">
        <v>96</v>
      </c>
      <c r="F1017" s="10">
        <v>30</v>
      </c>
      <c r="G1017" s="10"/>
      <c r="H1017" s="10" t="s">
        <v>18</v>
      </c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</row>
    <row r="1018" spans="1:26" ht="14.25" customHeight="1" x14ac:dyDescent="0.3">
      <c r="A1018" s="8"/>
      <c r="B1018" s="86">
        <v>45691</v>
      </c>
      <c r="C1018" s="14" t="s">
        <v>126</v>
      </c>
      <c r="D1018" s="18" t="s">
        <v>12</v>
      </c>
      <c r="E1018" s="57" t="s">
        <v>97</v>
      </c>
      <c r="F1018" s="10"/>
      <c r="G1018" s="10">
        <v>11</v>
      </c>
      <c r="H1018" s="10" t="s">
        <v>10</v>
      </c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</row>
    <row r="1019" spans="1:26" ht="14.25" customHeight="1" x14ac:dyDescent="0.3">
      <c r="A1019" s="8"/>
      <c r="B1019" s="86">
        <v>45691</v>
      </c>
      <c r="C1019" s="9" t="s">
        <v>79</v>
      </c>
      <c r="D1019" s="9" t="s">
        <v>20</v>
      </c>
      <c r="E1019" s="11" t="s">
        <v>82</v>
      </c>
      <c r="F1019" s="10"/>
      <c r="G1019" s="10">
        <v>2</v>
      </c>
      <c r="H1019" s="10" t="s">
        <v>10</v>
      </c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</row>
    <row r="1020" spans="1:26" ht="14.25" customHeight="1" x14ac:dyDescent="0.3">
      <c r="A1020" s="8"/>
      <c r="B1020" s="86">
        <v>45691</v>
      </c>
      <c r="C1020" s="39" t="s">
        <v>90</v>
      </c>
      <c r="D1020" s="9" t="s">
        <v>20</v>
      </c>
      <c r="E1020" s="11" t="s">
        <v>91</v>
      </c>
      <c r="F1020" s="10"/>
      <c r="G1020" s="10">
        <v>18</v>
      </c>
      <c r="H1020" s="10" t="s">
        <v>10</v>
      </c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spans="1:26" ht="14.25" customHeight="1" x14ac:dyDescent="0.3">
      <c r="A1021" s="8"/>
      <c r="B1021" s="86">
        <v>45691</v>
      </c>
      <c r="C1021" s="42" t="s">
        <v>106</v>
      </c>
      <c r="D1021" s="25" t="s">
        <v>160</v>
      </c>
      <c r="E1021" s="11" t="s">
        <v>107</v>
      </c>
      <c r="F1021" s="10"/>
      <c r="G1021" s="10">
        <v>1</v>
      </c>
      <c r="H1021" s="10" t="s">
        <v>10</v>
      </c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</row>
    <row r="1022" spans="1:26" ht="14.25" customHeight="1" x14ac:dyDescent="0.3">
      <c r="A1022" s="8"/>
      <c r="B1022" s="86">
        <v>45691</v>
      </c>
      <c r="C1022" s="18" t="s">
        <v>115</v>
      </c>
      <c r="D1022" s="25" t="s">
        <v>166</v>
      </c>
      <c r="E1022" s="11" t="s">
        <v>116</v>
      </c>
      <c r="F1022" s="10"/>
      <c r="G1022" s="10">
        <v>1</v>
      </c>
      <c r="H1022" s="10" t="s">
        <v>10</v>
      </c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</row>
    <row r="1023" spans="1:26" ht="14.25" customHeight="1" x14ac:dyDescent="0.3">
      <c r="A1023" s="8"/>
      <c r="B1023" s="86">
        <v>45691</v>
      </c>
      <c r="C1023" s="14" t="s">
        <v>110</v>
      </c>
      <c r="D1023" s="18" t="s">
        <v>12</v>
      </c>
      <c r="E1023" s="18" t="s">
        <v>111</v>
      </c>
      <c r="F1023" s="10"/>
      <c r="G1023" s="10">
        <v>24</v>
      </c>
      <c r="H1023" s="10" t="s">
        <v>10</v>
      </c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spans="1:26" ht="14.25" customHeight="1" x14ac:dyDescent="0.3">
      <c r="A1024" s="8"/>
      <c r="B1024" s="86">
        <v>45691</v>
      </c>
      <c r="C1024" s="26" t="s">
        <v>162</v>
      </c>
      <c r="D1024" s="25" t="s">
        <v>166</v>
      </c>
      <c r="E1024" s="11" t="s">
        <v>163</v>
      </c>
      <c r="F1024" s="10"/>
      <c r="G1024" s="10">
        <v>2</v>
      </c>
      <c r="H1024" s="10" t="s">
        <v>10</v>
      </c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</row>
    <row r="1025" spans="1:26" ht="14.25" customHeight="1" x14ac:dyDescent="0.3">
      <c r="A1025" s="8"/>
      <c r="B1025" s="86">
        <v>45691</v>
      </c>
      <c r="C1025" s="9" t="s">
        <v>30</v>
      </c>
      <c r="D1025" s="9" t="s">
        <v>8</v>
      </c>
      <c r="E1025" s="11" t="s">
        <v>31</v>
      </c>
      <c r="F1025" s="10"/>
      <c r="G1025" s="10">
        <v>1</v>
      </c>
      <c r="H1025" s="10" t="s">
        <v>10</v>
      </c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</row>
    <row r="1026" spans="1:26" ht="14.25" customHeight="1" x14ac:dyDescent="0.3">
      <c r="A1026" s="8"/>
      <c r="B1026" s="86">
        <v>45692</v>
      </c>
      <c r="C1026" s="9" t="s">
        <v>28</v>
      </c>
      <c r="D1026" s="9" t="s">
        <v>8</v>
      </c>
      <c r="E1026" s="57" t="s">
        <v>29</v>
      </c>
      <c r="F1026" s="10"/>
      <c r="G1026" s="10">
        <v>1</v>
      </c>
      <c r="H1026" s="58" t="s">
        <v>10</v>
      </c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  <row r="1027" spans="1:26" ht="14.25" customHeight="1" x14ac:dyDescent="0.3">
      <c r="A1027" s="8"/>
      <c r="B1027" s="86">
        <v>45692</v>
      </c>
      <c r="C1027" s="9" t="s">
        <v>7</v>
      </c>
      <c r="D1027" s="9" t="s">
        <v>8</v>
      </c>
      <c r="E1027" s="57" t="s">
        <v>9</v>
      </c>
      <c r="F1027" s="10"/>
      <c r="G1027" s="10">
        <v>1</v>
      </c>
      <c r="H1027" s="58" t="s">
        <v>10</v>
      </c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</row>
    <row r="1028" spans="1:26" ht="14.25" customHeight="1" x14ac:dyDescent="0.3">
      <c r="A1028" s="8"/>
      <c r="B1028" s="86">
        <v>45692</v>
      </c>
      <c r="C1028" s="9" t="s">
        <v>75</v>
      </c>
      <c r="D1028" s="9" t="s">
        <v>8</v>
      </c>
      <c r="E1028" s="11" t="s">
        <v>76</v>
      </c>
      <c r="F1028" s="10"/>
      <c r="G1028" s="10">
        <v>1</v>
      </c>
      <c r="H1028" s="58" t="s">
        <v>10</v>
      </c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</row>
    <row r="1029" spans="1:26" ht="14.25" customHeight="1" x14ac:dyDescent="0.3">
      <c r="A1029" s="8"/>
      <c r="B1029" s="86">
        <v>45693</v>
      </c>
      <c r="C1029" s="14" t="s">
        <v>110</v>
      </c>
      <c r="D1029" s="18" t="s">
        <v>12</v>
      </c>
      <c r="E1029" s="18" t="s">
        <v>111</v>
      </c>
      <c r="F1029" s="10">
        <v>42</v>
      </c>
      <c r="G1029" s="10"/>
      <c r="H1029" s="58" t="s">
        <v>18</v>
      </c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</row>
    <row r="1030" spans="1:26" ht="14.25" customHeight="1" x14ac:dyDescent="0.3">
      <c r="A1030" s="8"/>
      <c r="B1030" s="86">
        <v>45693</v>
      </c>
      <c r="C1030" s="9" t="s">
        <v>11</v>
      </c>
      <c r="D1030" s="18" t="s">
        <v>12</v>
      </c>
      <c r="E1030" s="11" t="s">
        <v>13</v>
      </c>
      <c r="F1030" s="10"/>
      <c r="G1030" s="10">
        <v>5</v>
      </c>
      <c r="H1030" s="10" t="s">
        <v>10</v>
      </c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</row>
    <row r="1031" spans="1:26" ht="14.25" customHeight="1" x14ac:dyDescent="0.3">
      <c r="A1031" s="8"/>
      <c r="B1031" s="86">
        <v>45693</v>
      </c>
      <c r="C1031" s="9" t="s">
        <v>45</v>
      </c>
      <c r="D1031" s="18" t="s">
        <v>12</v>
      </c>
      <c r="E1031" s="11" t="s">
        <v>59</v>
      </c>
      <c r="F1031" s="10"/>
      <c r="G1031" s="10">
        <v>16</v>
      </c>
      <c r="H1031" s="58" t="s">
        <v>10</v>
      </c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</row>
    <row r="1032" spans="1:26" ht="14.25" customHeight="1" x14ac:dyDescent="0.3">
      <c r="A1032" s="8"/>
      <c r="B1032" s="86">
        <v>45693</v>
      </c>
      <c r="C1032" s="9" t="s">
        <v>55</v>
      </c>
      <c r="D1032" s="18" t="s">
        <v>12</v>
      </c>
      <c r="E1032" s="11" t="s">
        <v>56</v>
      </c>
      <c r="F1032" s="10"/>
      <c r="G1032" s="10">
        <v>10</v>
      </c>
      <c r="H1032" s="58" t="s">
        <v>10</v>
      </c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</row>
    <row r="1033" spans="1:26" ht="14.25" customHeight="1" x14ac:dyDescent="0.3">
      <c r="A1033" s="8"/>
      <c r="B1033" s="86">
        <v>45693</v>
      </c>
      <c r="C1033" s="9" t="s">
        <v>57</v>
      </c>
      <c r="D1033" s="18" t="s">
        <v>12</v>
      </c>
      <c r="E1033" s="11" t="s">
        <v>58</v>
      </c>
      <c r="F1033" s="10"/>
      <c r="G1033" s="10">
        <v>20</v>
      </c>
      <c r="H1033" s="58" t="s">
        <v>10</v>
      </c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</row>
    <row r="1034" spans="1:26" ht="14.25" customHeight="1" x14ac:dyDescent="0.3">
      <c r="A1034" s="8"/>
      <c r="B1034" s="86">
        <v>45693</v>
      </c>
      <c r="C1034" s="8" t="s">
        <v>93</v>
      </c>
      <c r="D1034" s="18" t="s">
        <v>12</v>
      </c>
      <c r="E1034" s="18" t="s">
        <v>94</v>
      </c>
      <c r="F1034" s="10"/>
      <c r="G1034" s="10">
        <v>1</v>
      </c>
      <c r="H1034" s="58" t="s">
        <v>10</v>
      </c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</row>
    <row r="1035" spans="1:26" ht="14.25" customHeight="1" x14ac:dyDescent="0.3">
      <c r="A1035" s="8"/>
      <c r="B1035" s="86">
        <v>45693</v>
      </c>
      <c r="C1035" s="42" t="s">
        <v>106</v>
      </c>
      <c r="D1035" s="25" t="s">
        <v>160</v>
      </c>
      <c r="E1035" s="57" t="s">
        <v>107</v>
      </c>
      <c r="F1035" s="10"/>
      <c r="G1035" s="10">
        <v>1</v>
      </c>
      <c r="H1035" s="58" t="s">
        <v>10</v>
      </c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</row>
    <row r="1036" spans="1:26" ht="14.25" customHeight="1" x14ac:dyDescent="0.3">
      <c r="A1036" s="8"/>
      <c r="B1036" s="86">
        <v>45694</v>
      </c>
      <c r="C1036" s="9" t="s">
        <v>28</v>
      </c>
      <c r="D1036" s="9" t="s">
        <v>8</v>
      </c>
      <c r="E1036" s="57" t="s">
        <v>29</v>
      </c>
      <c r="F1036" s="10">
        <v>3</v>
      </c>
      <c r="G1036" s="10"/>
      <c r="H1036" s="10" t="s">
        <v>18</v>
      </c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</row>
    <row r="1037" spans="1:26" ht="14.25" customHeight="1" x14ac:dyDescent="0.3">
      <c r="A1037" s="8"/>
      <c r="B1037" s="86">
        <v>45694</v>
      </c>
      <c r="C1037" s="9" t="s">
        <v>7</v>
      </c>
      <c r="D1037" s="9" t="s">
        <v>8</v>
      </c>
      <c r="E1037" s="57" t="s">
        <v>9</v>
      </c>
      <c r="F1037" s="10">
        <v>2</v>
      </c>
      <c r="G1037" s="10"/>
      <c r="H1037" s="58" t="s">
        <v>18</v>
      </c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</row>
    <row r="1038" spans="1:26" ht="14.25" customHeight="1" x14ac:dyDescent="0.3">
      <c r="A1038" s="8"/>
      <c r="B1038" s="86">
        <v>45694</v>
      </c>
      <c r="C1038" s="9" t="s">
        <v>75</v>
      </c>
      <c r="D1038" s="9" t="s">
        <v>8</v>
      </c>
      <c r="E1038" s="57" t="s">
        <v>76</v>
      </c>
      <c r="F1038" s="10">
        <v>1</v>
      </c>
      <c r="G1038" s="10"/>
      <c r="H1038" s="58" t="s">
        <v>18</v>
      </c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</row>
    <row r="1039" spans="1:26" ht="14.25" customHeight="1" x14ac:dyDescent="0.3">
      <c r="A1039" s="8"/>
      <c r="B1039" s="86">
        <v>45694</v>
      </c>
      <c r="C1039" s="9" t="s">
        <v>30</v>
      </c>
      <c r="D1039" s="9" t="s">
        <v>8</v>
      </c>
      <c r="E1039" s="11" t="s">
        <v>31</v>
      </c>
      <c r="F1039" s="10">
        <v>1</v>
      </c>
      <c r="G1039" s="10"/>
      <c r="H1039" s="58" t="s">
        <v>18</v>
      </c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</row>
    <row r="1040" spans="1:26" ht="14.25" customHeight="1" x14ac:dyDescent="0.3">
      <c r="A1040" s="89"/>
      <c r="B1040" s="86">
        <v>45694</v>
      </c>
      <c r="C1040" s="20" t="s">
        <v>189</v>
      </c>
      <c r="D1040" s="9" t="s">
        <v>12</v>
      </c>
      <c r="E1040" s="57" t="s">
        <v>92</v>
      </c>
      <c r="F1040" s="58">
        <f>5*12</f>
        <v>60</v>
      </c>
      <c r="G1040" s="58"/>
      <c r="H1040" s="58" t="s">
        <v>18</v>
      </c>
      <c r="I1040" s="89"/>
      <c r="J1040" s="89"/>
      <c r="K1040" s="89"/>
      <c r="L1040" s="89"/>
      <c r="M1040" s="89"/>
      <c r="N1040" s="89"/>
      <c r="O1040" s="89"/>
      <c r="P1040" s="89"/>
      <c r="Q1040" s="89"/>
      <c r="R1040" s="89"/>
      <c r="S1040" s="89"/>
      <c r="T1040" s="89"/>
      <c r="U1040" s="89"/>
      <c r="V1040" s="89"/>
      <c r="W1040" s="89"/>
      <c r="X1040" s="89"/>
      <c r="Y1040" s="89"/>
      <c r="Z1040" s="89"/>
    </row>
    <row r="1041" spans="1:26" ht="14.25" customHeight="1" x14ac:dyDescent="0.3">
      <c r="A1041" s="8"/>
      <c r="B1041" s="86">
        <v>45694</v>
      </c>
      <c r="C1041" s="9" t="s">
        <v>28</v>
      </c>
      <c r="D1041" s="9" t="s">
        <v>8</v>
      </c>
      <c r="E1041" s="57" t="s">
        <v>29</v>
      </c>
      <c r="F1041" s="10"/>
      <c r="G1041" s="10">
        <v>1</v>
      </c>
      <c r="H1041" s="58" t="s">
        <v>10</v>
      </c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</row>
    <row r="1042" spans="1:26" ht="14.25" customHeight="1" x14ac:dyDescent="0.3">
      <c r="A1042" s="8"/>
      <c r="B1042" s="86">
        <v>45694</v>
      </c>
      <c r="C1042" s="9" t="s">
        <v>7</v>
      </c>
      <c r="D1042" s="9" t="s">
        <v>8</v>
      </c>
      <c r="E1042" s="57" t="s">
        <v>9</v>
      </c>
      <c r="F1042" s="10"/>
      <c r="G1042" s="10">
        <v>1</v>
      </c>
      <c r="H1042" s="58" t="s">
        <v>10</v>
      </c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</row>
    <row r="1043" spans="1:26" ht="14.25" customHeight="1" x14ac:dyDescent="0.3">
      <c r="A1043" s="8"/>
      <c r="B1043" s="86">
        <v>45694</v>
      </c>
      <c r="C1043" s="9" t="s">
        <v>30</v>
      </c>
      <c r="D1043" s="9" t="s">
        <v>8</v>
      </c>
      <c r="E1043" s="57" t="s">
        <v>31</v>
      </c>
      <c r="F1043" s="10"/>
      <c r="G1043" s="10">
        <v>1</v>
      </c>
      <c r="H1043" s="58" t="s">
        <v>10</v>
      </c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</row>
    <row r="1044" spans="1:26" ht="14.25" customHeight="1" x14ac:dyDescent="0.3">
      <c r="A1044" s="8"/>
      <c r="B1044" s="86">
        <v>45694</v>
      </c>
      <c r="C1044" s="26" t="s">
        <v>101</v>
      </c>
      <c r="D1044" s="18" t="s">
        <v>8</v>
      </c>
      <c r="E1044" s="18" t="s">
        <v>102</v>
      </c>
      <c r="F1044" s="10"/>
      <c r="G1044" s="10">
        <v>1</v>
      </c>
      <c r="H1044" s="10" t="s">
        <v>10</v>
      </c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</row>
    <row r="1045" spans="1:26" ht="14.25" customHeight="1" x14ac:dyDescent="0.3">
      <c r="A1045" s="8"/>
      <c r="B1045" s="86">
        <v>45694</v>
      </c>
      <c r="C1045" s="9" t="s">
        <v>51</v>
      </c>
      <c r="D1045" s="9" t="s">
        <v>20</v>
      </c>
      <c r="E1045" s="57" t="s">
        <v>52</v>
      </c>
      <c r="F1045" s="10"/>
      <c r="G1045" s="10">
        <v>2.6</v>
      </c>
      <c r="H1045" s="58" t="s">
        <v>10</v>
      </c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</row>
    <row r="1046" spans="1:26" ht="14.25" customHeight="1" x14ac:dyDescent="0.3">
      <c r="A1046" s="8"/>
      <c r="B1046" s="86">
        <v>45694</v>
      </c>
      <c r="C1046" s="9" t="s">
        <v>43</v>
      </c>
      <c r="D1046" s="9" t="s">
        <v>20</v>
      </c>
      <c r="E1046" s="57" t="s">
        <v>44</v>
      </c>
      <c r="F1046" s="10"/>
      <c r="G1046" s="10">
        <v>11</v>
      </c>
      <c r="H1046" s="58" t="s">
        <v>10</v>
      </c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</row>
    <row r="1047" spans="1:26" ht="14.25" customHeight="1" x14ac:dyDescent="0.3">
      <c r="A1047" s="8"/>
      <c r="B1047" s="86">
        <v>45694</v>
      </c>
      <c r="C1047" s="9" t="s">
        <v>39</v>
      </c>
      <c r="D1047" s="9" t="s">
        <v>20</v>
      </c>
      <c r="E1047" s="57" t="s">
        <v>40</v>
      </c>
      <c r="F1047" s="10"/>
      <c r="G1047" s="10">
        <v>3.5</v>
      </c>
      <c r="H1047" s="58" t="s">
        <v>10</v>
      </c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</row>
    <row r="1048" spans="1:26" ht="14.25" customHeight="1" x14ac:dyDescent="0.3">
      <c r="A1048" s="8"/>
      <c r="B1048" s="86">
        <v>45694</v>
      </c>
      <c r="C1048" s="9" t="s">
        <v>41</v>
      </c>
      <c r="D1048" s="9" t="s">
        <v>20</v>
      </c>
      <c r="E1048" s="57" t="s">
        <v>42</v>
      </c>
      <c r="F1048" s="10"/>
      <c r="G1048" s="10">
        <v>1.5</v>
      </c>
      <c r="H1048" s="58" t="s">
        <v>10</v>
      </c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</row>
    <row r="1049" spans="1:26" ht="14.25" customHeight="1" x14ac:dyDescent="0.3">
      <c r="A1049" s="8"/>
      <c r="B1049" s="86">
        <v>45694</v>
      </c>
      <c r="C1049" s="8" t="s">
        <v>93</v>
      </c>
      <c r="D1049" s="18" t="s">
        <v>12</v>
      </c>
      <c r="E1049" s="18" t="s">
        <v>94</v>
      </c>
      <c r="F1049" s="58"/>
      <c r="G1049" s="58">
        <v>4</v>
      </c>
      <c r="H1049" s="58" t="s">
        <v>10</v>
      </c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</row>
    <row r="1050" spans="1:26" ht="15" customHeight="1" x14ac:dyDescent="0.3">
      <c r="B1050" s="86">
        <v>45694</v>
      </c>
      <c r="C1050" s="9" t="s">
        <v>95</v>
      </c>
      <c r="D1050" s="9" t="s">
        <v>12</v>
      </c>
      <c r="E1050" s="57" t="s">
        <v>96</v>
      </c>
      <c r="F1050" s="58"/>
      <c r="G1050" s="58">
        <v>30</v>
      </c>
      <c r="H1050" s="58" t="s">
        <v>10</v>
      </c>
    </row>
    <row r="1051" spans="1:26" ht="15" customHeight="1" x14ac:dyDescent="0.3">
      <c r="B1051" s="86">
        <v>45694</v>
      </c>
      <c r="C1051" s="9" t="s">
        <v>55</v>
      </c>
      <c r="D1051" s="9" t="s">
        <v>12</v>
      </c>
      <c r="E1051" s="57" t="s">
        <v>56</v>
      </c>
      <c r="F1051" s="58"/>
      <c r="G1051" s="58">
        <v>7</v>
      </c>
      <c r="H1051" s="58" t="s">
        <v>10</v>
      </c>
    </row>
    <row r="1052" spans="1:26" ht="15" customHeight="1" x14ac:dyDescent="0.3">
      <c r="B1052" s="86">
        <v>45694</v>
      </c>
      <c r="C1052" s="9" t="s">
        <v>57</v>
      </c>
      <c r="D1052" s="9" t="s">
        <v>12</v>
      </c>
      <c r="E1052" s="57" t="s">
        <v>58</v>
      </c>
      <c r="F1052" s="58"/>
      <c r="G1052" s="58">
        <v>15</v>
      </c>
      <c r="H1052" s="58" t="s">
        <v>10</v>
      </c>
    </row>
    <row r="1053" spans="1:26" ht="15" customHeight="1" x14ac:dyDescent="0.3">
      <c r="B1053" s="86">
        <v>45694</v>
      </c>
      <c r="C1053" s="9" t="s">
        <v>127</v>
      </c>
      <c r="D1053" s="9" t="s">
        <v>12</v>
      </c>
      <c r="E1053" s="57" t="s">
        <v>99</v>
      </c>
      <c r="F1053" s="58"/>
      <c r="G1053" s="58">
        <v>5</v>
      </c>
      <c r="H1053" s="58" t="s">
        <v>10</v>
      </c>
    </row>
    <row r="1054" spans="1:26" ht="15" customHeight="1" x14ac:dyDescent="0.3">
      <c r="B1054" s="86">
        <v>45694</v>
      </c>
      <c r="C1054" s="9" t="s">
        <v>45</v>
      </c>
      <c r="D1054" s="9" t="s">
        <v>12</v>
      </c>
      <c r="E1054" s="57" t="s">
        <v>59</v>
      </c>
      <c r="F1054" s="58"/>
      <c r="G1054" s="58">
        <v>32</v>
      </c>
      <c r="H1054" s="58" t="s">
        <v>10</v>
      </c>
    </row>
    <row r="1055" spans="1:26" ht="15" customHeight="1" x14ac:dyDescent="0.3">
      <c r="B1055" s="86">
        <v>45694</v>
      </c>
      <c r="C1055" s="9" t="s">
        <v>11</v>
      </c>
      <c r="D1055" s="9" t="s">
        <v>12</v>
      </c>
      <c r="E1055" s="57" t="s">
        <v>13</v>
      </c>
      <c r="F1055" s="58"/>
      <c r="G1055" s="58">
        <v>4</v>
      </c>
      <c r="H1055" s="58" t="s">
        <v>10</v>
      </c>
    </row>
    <row r="1056" spans="1:26" ht="15" customHeight="1" x14ac:dyDescent="0.3">
      <c r="B1056" s="86">
        <v>45694</v>
      </c>
      <c r="C1056" s="14" t="s">
        <v>126</v>
      </c>
      <c r="D1056" s="9" t="s">
        <v>12</v>
      </c>
      <c r="E1056" s="57" t="s">
        <v>97</v>
      </c>
      <c r="F1056" s="58"/>
      <c r="G1056" s="58">
        <v>13</v>
      </c>
      <c r="H1056" s="58" t="s">
        <v>10</v>
      </c>
    </row>
    <row r="1057" spans="2:8" ht="15" customHeight="1" x14ac:dyDescent="0.3">
      <c r="B1057" s="86">
        <v>45694</v>
      </c>
      <c r="C1057" s="9" t="s">
        <v>79</v>
      </c>
      <c r="D1057" s="9" t="s">
        <v>20</v>
      </c>
      <c r="E1057" s="57" t="s">
        <v>82</v>
      </c>
      <c r="F1057" s="58"/>
      <c r="G1057" s="58">
        <v>2</v>
      </c>
      <c r="H1057" s="58" t="s">
        <v>10</v>
      </c>
    </row>
    <row r="1058" spans="2:8" ht="15" customHeight="1" x14ac:dyDescent="0.3">
      <c r="B1058" s="86">
        <v>45694</v>
      </c>
      <c r="C1058" s="14" t="s">
        <v>110</v>
      </c>
      <c r="D1058" s="9" t="s">
        <v>12</v>
      </c>
      <c r="E1058" s="57" t="s">
        <v>111</v>
      </c>
      <c r="F1058" s="58"/>
      <c r="G1058" s="58">
        <f>42-26</f>
        <v>16</v>
      </c>
      <c r="H1058" s="58" t="s">
        <v>10</v>
      </c>
    </row>
    <row r="1059" spans="2:8" ht="15" customHeight="1" x14ac:dyDescent="0.3">
      <c r="B1059" s="86">
        <v>45694</v>
      </c>
      <c r="C1059" s="9" t="s">
        <v>28</v>
      </c>
      <c r="D1059" s="9" t="s">
        <v>8</v>
      </c>
      <c r="E1059" s="57" t="s">
        <v>29</v>
      </c>
      <c r="F1059" s="58"/>
      <c r="G1059" s="58">
        <v>1</v>
      </c>
      <c r="H1059" s="58" t="s">
        <v>10</v>
      </c>
    </row>
    <row r="1060" spans="2:8" ht="15" customHeight="1" x14ac:dyDescent="0.3">
      <c r="B1060" s="86">
        <v>45694</v>
      </c>
      <c r="C1060" s="9" t="s">
        <v>7</v>
      </c>
      <c r="D1060" s="9" t="s">
        <v>8</v>
      </c>
      <c r="E1060" s="57" t="s">
        <v>9</v>
      </c>
      <c r="F1060" s="58"/>
      <c r="G1060" s="58">
        <v>1</v>
      </c>
      <c r="H1060" s="58" t="s">
        <v>10</v>
      </c>
    </row>
    <row r="1061" spans="2:8" ht="15" customHeight="1" x14ac:dyDescent="0.3">
      <c r="B1061" s="86">
        <v>45695</v>
      </c>
      <c r="C1061" s="90" t="s">
        <v>55</v>
      </c>
      <c r="D1061" s="91" t="s">
        <v>12</v>
      </c>
      <c r="E1061" s="92" t="s">
        <v>56</v>
      </c>
      <c r="F1061" s="58"/>
      <c r="G1061" s="58">
        <v>13</v>
      </c>
      <c r="H1061" s="58" t="s">
        <v>10</v>
      </c>
    </row>
    <row r="1062" spans="2:8" ht="15" customHeight="1" x14ac:dyDescent="0.3">
      <c r="B1062" s="86">
        <v>45695</v>
      </c>
      <c r="C1062" s="95" t="s">
        <v>57</v>
      </c>
      <c r="D1062" s="96" t="s">
        <v>12</v>
      </c>
      <c r="E1062" s="97" t="s">
        <v>58</v>
      </c>
      <c r="F1062" s="58"/>
      <c r="G1062" s="58">
        <v>20</v>
      </c>
      <c r="H1062" s="58" t="s">
        <v>10</v>
      </c>
    </row>
    <row r="1063" spans="2:8" ht="15" customHeight="1" x14ac:dyDescent="0.3">
      <c r="B1063" s="86">
        <v>45695</v>
      </c>
      <c r="C1063" s="95" t="s">
        <v>127</v>
      </c>
      <c r="D1063" s="96" t="s">
        <v>12</v>
      </c>
      <c r="E1063" s="97" t="s">
        <v>99</v>
      </c>
      <c r="F1063" s="58"/>
      <c r="G1063" s="58">
        <v>6</v>
      </c>
      <c r="H1063" s="58" t="s">
        <v>10</v>
      </c>
    </row>
    <row r="1064" spans="2:8" ht="15" customHeight="1" x14ac:dyDescent="0.3">
      <c r="B1064" s="86">
        <v>45695</v>
      </c>
      <c r="C1064" s="95" t="s">
        <v>45</v>
      </c>
      <c r="D1064" s="96" t="s">
        <v>12</v>
      </c>
      <c r="E1064" s="97" t="s">
        <v>59</v>
      </c>
      <c r="F1064" s="58"/>
      <c r="G1064" s="58">
        <v>32</v>
      </c>
      <c r="H1064" s="58" t="s">
        <v>10</v>
      </c>
    </row>
    <row r="1065" spans="2:8" ht="15" customHeight="1" x14ac:dyDescent="0.3">
      <c r="B1065" s="86">
        <v>45695</v>
      </c>
      <c r="C1065" s="95" t="s">
        <v>11</v>
      </c>
      <c r="D1065" s="96" t="s">
        <v>12</v>
      </c>
      <c r="E1065" s="97" t="s">
        <v>13</v>
      </c>
      <c r="F1065" s="58"/>
      <c r="G1065" s="58">
        <v>7</v>
      </c>
      <c r="H1065" s="58" t="s">
        <v>10</v>
      </c>
    </row>
    <row r="1066" spans="2:8" ht="15" customHeight="1" x14ac:dyDescent="0.3">
      <c r="B1066" s="86">
        <v>45695</v>
      </c>
      <c r="C1066" s="9" t="s">
        <v>14</v>
      </c>
      <c r="D1066" s="9" t="s">
        <v>12</v>
      </c>
      <c r="E1066" s="57" t="s">
        <v>15</v>
      </c>
      <c r="F1066" s="58"/>
      <c r="G1066" s="58">
        <v>11</v>
      </c>
      <c r="H1066" s="58" t="s">
        <v>10</v>
      </c>
    </row>
    <row r="1067" spans="2:8" ht="15" customHeight="1" x14ac:dyDescent="0.3">
      <c r="B1067" s="86">
        <v>45695</v>
      </c>
      <c r="C1067" s="98" t="s">
        <v>93</v>
      </c>
      <c r="D1067" s="88" t="s">
        <v>12</v>
      </c>
      <c r="E1067" s="88" t="s">
        <v>94</v>
      </c>
      <c r="F1067" s="58"/>
      <c r="G1067" s="58">
        <v>4</v>
      </c>
      <c r="H1067" s="58" t="s">
        <v>10</v>
      </c>
    </row>
    <row r="1068" spans="2:8" ht="15" customHeight="1" x14ac:dyDescent="0.3">
      <c r="B1068" s="86">
        <v>45695</v>
      </c>
      <c r="C1068" s="9" t="s">
        <v>30</v>
      </c>
      <c r="D1068" s="9" t="s">
        <v>8</v>
      </c>
      <c r="E1068" s="57" t="s">
        <v>31</v>
      </c>
      <c r="F1068" s="58"/>
      <c r="G1068" s="58">
        <v>1</v>
      </c>
      <c r="H1068" s="58" t="s">
        <v>10</v>
      </c>
    </row>
    <row r="1069" spans="2:8" ht="15" customHeight="1" x14ac:dyDescent="0.3">
      <c r="B1069" s="86">
        <v>45696</v>
      </c>
      <c r="C1069" s="18" t="s">
        <v>79</v>
      </c>
      <c r="D1069" s="18" t="s">
        <v>20</v>
      </c>
      <c r="E1069" s="18" t="s">
        <v>82</v>
      </c>
      <c r="F1069" s="58"/>
      <c r="G1069" s="58">
        <v>1</v>
      </c>
      <c r="H1069" s="58" t="s">
        <v>10</v>
      </c>
    </row>
    <row r="1070" spans="2:8" ht="15" customHeight="1" x14ac:dyDescent="0.3">
      <c r="B1070" s="86">
        <v>45696</v>
      </c>
      <c r="C1070" s="9" t="s">
        <v>28</v>
      </c>
      <c r="D1070" s="9" t="s">
        <v>8</v>
      </c>
      <c r="E1070" s="57" t="s">
        <v>29</v>
      </c>
      <c r="F1070" s="58"/>
      <c r="G1070" s="58">
        <v>2</v>
      </c>
      <c r="H1070" s="58" t="s">
        <v>10</v>
      </c>
    </row>
    <row r="1071" spans="2:8" ht="15" customHeight="1" x14ac:dyDescent="0.3">
      <c r="B1071" s="86">
        <v>45696</v>
      </c>
      <c r="C1071" s="9" t="s">
        <v>7</v>
      </c>
      <c r="D1071" s="9" t="s">
        <v>8</v>
      </c>
      <c r="E1071" s="57" t="s">
        <v>9</v>
      </c>
      <c r="F1071" s="58"/>
      <c r="G1071" s="58">
        <v>2</v>
      </c>
      <c r="H1071" s="58" t="s">
        <v>10</v>
      </c>
    </row>
    <row r="1072" spans="2:8" ht="15" customHeight="1" x14ac:dyDescent="0.3">
      <c r="B1072" s="86">
        <v>45696</v>
      </c>
      <c r="C1072" s="9" t="s">
        <v>75</v>
      </c>
      <c r="D1072" s="9" t="s">
        <v>8</v>
      </c>
      <c r="E1072" s="57" t="s">
        <v>76</v>
      </c>
      <c r="F1072" s="58"/>
      <c r="G1072" s="58">
        <v>1</v>
      </c>
      <c r="H1072" s="58" t="s">
        <v>10</v>
      </c>
    </row>
    <row r="1073" spans="2:8" ht="15" customHeight="1" x14ac:dyDescent="0.3">
      <c r="B1073" s="86">
        <v>45697</v>
      </c>
      <c r="C1073" s="95" t="s">
        <v>45</v>
      </c>
      <c r="D1073" s="96" t="s">
        <v>12</v>
      </c>
      <c r="E1073" s="97" t="s">
        <v>59</v>
      </c>
      <c r="F1073" s="58"/>
      <c r="G1073" s="58">
        <v>32</v>
      </c>
      <c r="H1073" s="58" t="s">
        <v>10</v>
      </c>
    </row>
    <row r="1074" spans="2:8" ht="15" customHeight="1" x14ac:dyDescent="0.3">
      <c r="B1074" s="86">
        <v>45697</v>
      </c>
      <c r="C1074" s="9" t="s">
        <v>28</v>
      </c>
      <c r="D1074" s="9" t="s">
        <v>8</v>
      </c>
      <c r="E1074" s="57" t="s">
        <v>29</v>
      </c>
      <c r="F1074" s="58">
        <v>3</v>
      </c>
      <c r="G1074" s="58"/>
      <c r="H1074" s="58" t="s">
        <v>18</v>
      </c>
    </row>
    <row r="1075" spans="2:8" ht="15" customHeight="1" x14ac:dyDescent="0.3">
      <c r="B1075" s="86">
        <v>45697</v>
      </c>
      <c r="C1075" s="9" t="s">
        <v>7</v>
      </c>
      <c r="D1075" s="9" t="s">
        <v>8</v>
      </c>
      <c r="E1075" s="57" t="s">
        <v>9</v>
      </c>
      <c r="F1075" s="58">
        <v>2</v>
      </c>
      <c r="G1075" s="58"/>
      <c r="H1075" s="58" t="s">
        <v>18</v>
      </c>
    </row>
    <row r="1076" spans="2:8" ht="15" customHeight="1" x14ac:dyDescent="0.3">
      <c r="B1076" s="86">
        <v>45697</v>
      </c>
      <c r="C1076" s="9" t="s">
        <v>75</v>
      </c>
      <c r="D1076" s="9" t="s">
        <v>8</v>
      </c>
      <c r="E1076" s="57" t="s">
        <v>76</v>
      </c>
      <c r="F1076" s="58">
        <v>1</v>
      </c>
      <c r="G1076" s="58"/>
      <c r="H1076" s="58" t="s">
        <v>18</v>
      </c>
    </row>
    <row r="1077" spans="2:8" ht="15" customHeight="1" x14ac:dyDescent="0.3">
      <c r="B1077" s="86">
        <v>45697</v>
      </c>
      <c r="C1077" s="9" t="s">
        <v>30</v>
      </c>
      <c r="D1077" s="9" t="s">
        <v>8</v>
      </c>
      <c r="E1077" s="57" t="s">
        <v>31</v>
      </c>
      <c r="F1077" s="58">
        <v>1</v>
      </c>
      <c r="G1077" s="58"/>
      <c r="H1077" s="58" t="s">
        <v>18</v>
      </c>
    </row>
    <row r="1078" spans="2:8" ht="15" customHeight="1" x14ac:dyDescent="0.3">
      <c r="B1078" s="86">
        <v>45697</v>
      </c>
      <c r="C1078" s="9" t="s">
        <v>73</v>
      </c>
      <c r="D1078" s="9" t="s">
        <v>71</v>
      </c>
      <c r="E1078" s="57" t="s">
        <v>74</v>
      </c>
      <c r="F1078" s="58">
        <v>2</v>
      </c>
      <c r="G1078" s="58"/>
      <c r="H1078" s="58" t="s">
        <v>18</v>
      </c>
    </row>
    <row r="1079" spans="2:8" ht="15" customHeight="1" x14ac:dyDescent="0.3">
      <c r="B1079" s="86">
        <v>45697</v>
      </c>
      <c r="C1079" s="9" t="s">
        <v>80</v>
      </c>
      <c r="D1079" s="9" t="s">
        <v>71</v>
      </c>
      <c r="E1079" s="57" t="s">
        <v>81</v>
      </c>
      <c r="F1079" s="58">
        <v>2</v>
      </c>
      <c r="G1079" s="58"/>
      <c r="H1079" s="58" t="s">
        <v>18</v>
      </c>
    </row>
    <row r="1080" spans="2:8" ht="15" customHeight="1" x14ac:dyDescent="0.3">
      <c r="B1080" s="86">
        <v>45697</v>
      </c>
      <c r="C1080" s="14" t="s">
        <v>110</v>
      </c>
      <c r="D1080" s="9" t="s">
        <v>12</v>
      </c>
      <c r="E1080" s="57" t="s">
        <v>111</v>
      </c>
      <c r="F1080" s="58">
        <v>30</v>
      </c>
      <c r="G1080" s="58"/>
      <c r="H1080" s="58" t="s">
        <v>18</v>
      </c>
    </row>
    <row r="1081" spans="2:8" ht="15" customHeight="1" x14ac:dyDescent="0.3">
      <c r="B1081" s="86">
        <v>45697</v>
      </c>
      <c r="C1081" s="18" t="s">
        <v>79</v>
      </c>
      <c r="D1081" s="18" t="s">
        <v>20</v>
      </c>
      <c r="E1081" s="18" t="s">
        <v>82</v>
      </c>
      <c r="F1081" s="58"/>
      <c r="G1081" s="58">
        <v>1</v>
      </c>
      <c r="H1081" s="58" t="s">
        <v>10</v>
      </c>
    </row>
    <row r="1082" spans="2:8" ht="15" customHeight="1" x14ac:dyDescent="0.3">
      <c r="B1082" s="86">
        <v>45697</v>
      </c>
      <c r="C1082" s="95" t="s">
        <v>11</v>
      </c>
      <c r="D1082" s="96" t="s">
        <v>12</v>
      </c>
      <c r="E1082" s="97" t="s">
        <v>13</v>
      </c>
      <c r="F1082" s="58"/>
      <c r="G1082" s="58">
        <v>8</v>
      </c>
      <c r="H1082" s="58" t="s">
        <v>10</v>
      </c>
    </row>
    <row r="1083" spans="2:8" ht="15" customHeight="1" x14ac:dyDescent="0.3">
      <c r="B1083" s="86">
        <v>45697</v>
      </c>
      <c r="C1083" s="9" t="s">
        <v>28</v>
      </c>
      <c r="D1083" s="9" t="s">
        <v>8</v>
      </c>
      <c r="E1083" s="57" t="s">
        <v>29</v>
      </c>
      <c r="F1083" s="58"/>
      <c r="G1083" s="58">
        <v>2</v>
      </c>
      <c r="H1083" s="58" t="s">
        <v>10</v>
      </c>
    </row>
    <row r="1084" spans="2:8" ht="15" customHeight="1" x14ac:dyDescent="0.3">
      <c r="B1084" s="86">
        <v>45697</v>
      </c>
      <c r="C1084" s="9" t="s">
        <v>7</v>
      </c>
      <c r="D1084" s="9" t="s">
        <v>8</v>
      </c>
      <c r="E1084" s="57" t="s">
        <v>9</v>
      </c>
      <c r="F1084" s="58"/>
      <c r="G1084" s="58">
        <v>1</v>
      </c>
      <c r="H1084" s="58" t="s">
        <v>10</v>
      </c>
    </row>
    <row r="1085" spans="2:8" ht="15" customHeight="1" x14ac:dyDescent="0.3">
      <c r="B1085" s="86">
        <v>45698</v>
      </c>
      <c r="C1085" s="9" t="s">
        <v>51</v>
      </c>
      <c r="D1085" s="9" t="s">
        <v>20</v>
      </c>
      <c r="E1085" s="57" t="s">
        <v>52</v>
      </c>
      <c r="F1085" s="58">
        <v>5</v>
      </c>
      <c r="G1085" s="58"/>
      <c r="H1085" s="58" t="s">
        <v>18</v>
      </c>
    </row>
    <row r="1086" spans="2:8" ht="15" customHeight="1" x14ac:dyDescent="0.3">
      <c r="B1086" s="86">
        <v>45698</v>
      </c>
      <c r="C1086" s="20" t="s">
        <v>189</v>
      </c>
      <c r="D1086" s="9" t="s">
        <v>12</v>
      </c>
      <c r="E1086" s="57" t="s">
        <v>92</v>
      </c>
      <c r="F1086" s="58"/>
      <c r="G1086" s="58">
        <v>60</v>
      </c>
      <c r="H1086" s="58" t="s">
        <v>10</v>
      </c>
    </row>
    <row r="1087" spans="2:8" ht="15" customHeight="1" x14ac:dyDescent="0.3">
      <c r="B1087" s="86">
        <v>45698</v>
      </c>
      <c r="C1087" s="9" t="s">
        <v>77</v>
      </c>
      <c r="D1087" s="9" t="s">
        <v>20</v>
      </c>
      <c r="E1087" s="57" t="s">
        <v>78</v>
      </c>
      <c r="F1087" s="58"/>
      <c r="G1087" s="58">
        <v>0.4</v>
      </c>
      <c r="H1087" s="58" t="s">
        <v>10</v>
      </c>
    </row>
    <row r="1088" spans="2:8" ht="15" customHeight="1" x14ac:dyDescent="0.3">
      <c r="B1088" s="86">
        <v>45698</v>
      </c>
      <c r="C1088" s="9" t="s">
        <v>51</v>
      </c>
      <c r="D1088" s="9" t="s">
        <v>20</v>
      </c>
      <c r="E1088" s="57" t="s">
        <v>52</v>
      </c>
      <c r="F1088" s="58"/>
      <c r="G1088" s="58">
        <v>4</v>
      </c>
      <c r="H1088" s="58" t="s">
        <v>10</v>
      </c>
    </row>
    <row r="1089" spans="2:8" ht="15" customHeight="1" x14ac:dyDescent="0.3">
      <c r="B1089" s="86">
        <v>45698</v>
      </c>
      <c r="C1089" s="9" t="s">
        <v>73</v>
      </c>
      <c r="D1089" s="9" t="s">
        <v>71</v>
      </c>
      <c r="E1089" s="57" t="s">
        <v>74</v>
      </c>
      <c r="F1089" s="58"/>
      <c r="G1089" s="58">
        <v>2</v>
      </c>
      <c r="H1089" s="58" t="s">
        <v>10</v>
      </c>
    </row>
    <row r="1090" spans="2:8" ht="15" customHeight="1" x14ac:dyDescent="0.3">
      <c r="B1090" s="86">
        <v>45698</v>
      </c>
      <c r="C1090" s="9" t="s">
        <v>39</v>
      </c>
      <c r="D1090" s="9" t="s">
        <v>20</v>
      </c>
      <c r="E1090" s="57" t="s">
        <v>40</v>
      </c>
      <c r="F1090" s="58">
        <v>4</v>
      </c>
      <c r="G1090" s="58"/>
      <c r="H1090" s="58" t="s">
        <v>18</v>
      </c>
    </row>
    <row r="1091" spans="2:8" ht="15" customHeight="1" x14ac:dyDescent="0.3">
      <c r="B1091" s="86">
        <v>45698</v>
      </c>
      <c r="C1091" s="9" t="s">
        <v>41</v>
      </c>
      <c r="D1091" s="9" t="s">
        <v>20</v>
      </c>
      <c r="E1091" s="57" t="s">
        <v>42</v>
      </c>
      <c r="F1091" s="58"/>
      <c r="G1091" s="58">
        <v>4.4000000000000004</v>
      </c>
      <c r="H1091" s="58" t="s">
        <v>10</v>
      </c>
    </row>
    <row r="1092" spans="2:8" ht="15" customHeight="1" x14ac:dyDescent="0.3">
      <c r="B1092" s="86">
        <v>45698</v>
      </c>
      <c r="C1092" s="8" t="s">
        <v>93</v>
      </c>
      <c r="D1092" s="9" t="s">
        <v>12</v>
      </c>
      <c r="E1092" s="57" t="s">
        <v>94</v>
      </c>
      <c r="F1092" s="58"/>
      <c r="G1092" s="58">
        <v>6</v>
      </c>
      <c r="H1092" s="58" t="s">
        <v>10</v>
      </c>
    </row>
    <row r="1093" spans="2:8" ht="15" customHeight="1" x14ac:dyDescent="0.3">
      <c r="B1093" s="86">
        <v>45698</v>
      </c>
      <c r="C1093" s="9" t="s">
        <v>80</v>
      </c>
      <c r="D1093" s="9" t="s">
        <v>71</v>
      </c>
      <c r="E1093" s="57" t="s">
        <v>81</v>
      </c>
      <c r="F1093" s="58"/>
      <c r="G1093" s="58">
        <v>1</v>
      </c>
      <c r="H1093" s="58" t="s">
        <v>10</v>
      </c>
    </row>
    <row r="1094" spans="2:8" ht="15" customHeight="1" x14ac:dyDescent="0.3">
      <c r="B1094" s="86">
        <v>45698</v>
      </c>
      <c r="C1094" s="90" t="s">
        <v>55</v>
      </c>
      <c r="D1094" s="91" t="s">
        <v>12</v>
      </c>
      <c r="E1094" s="92" t="s">
        <v>56</v>
      </c>
      <c r="F1094" s="58"/>
      <c r="G1094" s="58">
        <v>10</v>
      </c>
      <c r="H1094" s="58" t="s">
        <v>10</v>
      </c>
    </row>
    <row r="1095" spans="2:8" ht="15" customHeight="1" x14ac:dyDescent="0.3">
      <c r="B1095" s="86">
        <v>45698</v>
      </c>
      <c r="C1095" s="95" t="s">
        <v>57</v>
      </c>
      <c r="D1095" s="96" t="s">
        <v>12</v>
      </c>
      <c r="E1095" s="97" t="s">
        <v>58</v>
      </c>
      <c r="F1095" s="58"/>
      <c r="G1095" s="58">
        <f>16+4</f>
        <v>20</v>
      </c>
      <c r="H1095" s="58" t="s">
        <v>10</v>
      </c>
    </row>
    <row r="1096" spans="2:8" ht="15" customHeight="1" x14ac:dyDescent="0.3">
      <c r="B1096" s="86">
        <v>45698</v>
      </c>
      <c r="C1096" s="95" t="s">
        <v>57</v>
      </c>
      <c r="D1096" s="96" t="s">
        <v>12</v>
      </c>
      <c r="E1096" s="97" t="s">
        <v>58</v>
      </c>
      <c r="F1096" s="58"/>
      <c r="G1096" s="58">
        <v>20</v>
      </c>
      <c r="H1096" s="58" t="s">
        <v>10</v>
      </c>
    </row>
    <row r="1097" spans="2:8" ht="15" customHeight="1" x14ac:dyDescent="0.3">
      <c r="B1097" s="86">
        <v>45698</v>
      </c>
      <c r="C1097" s="95" t="s">
        <v>127</v>
      </c>
      <c r="D1097" s="96" t="s">
        <v>12</v>
      </c>
      <c r="E1097" s="97" t="s">
        <v>99</v>
      </c>
      <c r="F1097" s="58"/>
      <c r="G1097" s="58">
        <v>5</v>
      </c>
      <c r="H1097" s="58" t="s">
        <v>10</v>
      </c>
    </row>
    <row r="1098" spans="2:8" ht="15" customHeight="1" x14ac:dyDescent="0.3">
      <c r="B1098" s="86">
        <v>45698</v>
      </c>
      <c r="C1098" s="9" t="s">
        <v>45</v>
      </c>
      <c r="D1098" s="9" t="s">
        <v>12</v>
      </c>
      <c r="E1098" s="57" t="s">
        <v>59</v>
      </c>
      <c r="F1098" s="58"/>
      <c r="G1098" s="58">
        <v>32</v>
      </c>
      <c r="H1098" s="58" t="s">
        <v>10</v>
      </c>
    </row>
    <row r="1099" spans="2:8" ht="15" customHeight="1" x14ac:dyDescent="0.3">
      <c r="B1099" s="86">
        <v>45698</v>
      </c>
      <c r="C1099" s="95" t="s">
        <v>11</v>
      </c>
      <c r="D1099" s="96" t="s">
        <v>12</v>
      </c>
      <c r="E1099" s="97" t="s">
        <v>13</v>
      </c>
      <c r="F1099" s="58"/>
      <c r="G1099" s="58">
        <v>16</v>
      </c>
      <c r="H1099" s="58" t="s">
        <v>10</v>
      </c>
    </row>
    <row r="1100" spans="2:8" ht="15" customHeight="1" x14ac:dyDescent="0.3">
      <c r="B1100" s="86">
        <v>45698</v>
      </c>
      <c r="C1100" s="14" t="s">
        <v>61</v>
      </c>
      <c r="D1100" s="18" t="s">
        <v>20</v>
      </c>
      <c r="E1100" s="18" t="s">
        <v>62</v>
      </c>
      <c r="F1100" s="58"/>
      <c r="G1100" s="58">
        <v>10</v>
      </c>
      <c r="H1100" s="58" t="s">
        <v>10</v>
      </c>
    </row>
    <row r="1101" spans="2:8" ht="15" customHeight="1" x14ac:dyDescent="0.3">
      <c r="B1101" s="86">
        <v>45698</v>
      </c>
      <c r="C1101" s="9" t="s">
        <v>79</v>
      </c>
      <c r="D1101" s="9" t="s">
        <v>20</v>
      </c>
      <c r="E1101" s="57" t="s">
        <v>82</v>
      </c>
      <c r="F1101" s="58"/>
      <c r="G1101" s="58">
        <v>2.4</v>
      </c>
      <c r="H1101" s="58" t="s">
        <v>10</v>
      </c>
    </row>
    <row r="1102" spans="2:8" ht="15" customHeight="1" x14ac:dyDescent="0.3">
      <c r="B1102" s="86">
        <v>45698</v>
      </c>
      <c r="C1102" s="88" t="s">
        <v>63</v>
      </c>
      <c r="D1102" s="9" t="s">
        <v>20</v>
      </c>
      <c r="E1102" s="57" t="s">
        <v>64</v>
      </c>
      <c r="F1102" s="58"/>
      <c r="G1102" s="58">
        <v>1.5</v>
      </c>
      <c r="H1102" s="58" t="s">
        <v>10</v>
      </c>
    </row>
    <row r="1103" spans="2:8" ht="15" customHeight="1" x14ac:dyDescent="0.3">
      <c r="B1103" s="86">
        <v>45698</v>
      </c>
      <c r="C1103" s="39" t="s">
        <v>83</v>
      </c>
      <c r="D1103" s="9" t="s">
        <v>20</v>
      </c>
      <c r="E1103" s="57" t="s">
        <v>84</v>
      </c>
      <c r="F1103" s="58"/>
      <c r="G1103" s="58">
        <v>10</v>
      </c>
      <c r="H1103" s="58" t="s">
        <v>10</v>
      </c>
    </row>
    <row r="1104" spans="2:8" ht="15" customHeight="1" x14ac:dyDescent="0.3">
      <c r="B1104" s="86">
        <v>45698</v>
      </c>
      <c r="C1104" s="39" t="s">
        <v>90</v>
      </c>
      <c r="D1104" s="9" t="s">
        <v>20</v>
      </c>
      <c r="E1104" s="57" t="s">
        <v>91</v>
      </c>
      <c r="F1104" s="58"/>
      <c r="G1104" s="58">
        <v>10</v>
      </c>
      <c r="H1104" s="58" t="s">
        <v>10</v>
      </c>
    </row>
    <row r="1105" spans="2:8" ht="15" customHeight="1" x14ac:dyDescent="0.3">
      <c r="B1105" s="86">
        <v>45698</v>
      </c>
      <c r="C1105" s="42" t="s">
        <v>106</v>
      </c>
      <c r="D1105" s="9" t="s">
        <v>12</v>
      </c>
      <c r="E1105" s="57" t="s">
        <v>107</v>
      </c>
      <c r="F1105" s="58"/>
      <c r="G1105" s="58">
        <v>1</v>
      </c>
      <c r="H1105" s="58" t="s">
        <v>10</v>
      </c>
    </row>
    <row r="1106" spans="2:8" ht="15" customHeight="1" x14ac:dyDescent="0.3">
      <c r="B1106" s="86">
        <v>45698</v>
      </c>
      <c r="C1106" s="14" t="s">
        <v>110</v>
      </c>
      <c r="D1106" s="9" t="s">
        <v>12</v>
      </c>
      <c r="E1106" s="57" t="s">
        <v>111</v>
      </c>
      <c r="F1106" s="58"/>
      <c r="G1106" s="58">
        <f>56-33</f>
        <v>23</v>
      </c>
      <c r="H1106" s="58" t="s">
        <v>10</v>
      </c>
    </row>
    <row r="1107" spans="2:8" ht="15" customHeight="1" x14ac:dyDescent="0.3">
      <c r="B1107" s="86">
        <v>45698</v>
      </c>
      <c r="C1107" s="18" t="s">
        <v>115</v>
      </c>
      <c r="D1107" s="96" t="s">
        <v>12</v>
      </c>
      <c r="E1107" s="57" t="s">
        <v>116</v>
      </c>
      <c r="F1107" s="58"/>
      <c r="G1107" s="58">
        <v>2</v>
      </c>
      <c r="H1107" s="58" t="s">
        <v>10</v>
      </c>
    </row>
    <row r="1108" spans="2:8" ht="15" customHeight="1" x14ac:dyDescent="0.3">
      <c r="B1108" s="86">
        <v>45698</v>
      </c>
      <c r="C1108" s="26" t="s">
        <v>162</v>
      </c>
      <c r="D1108" s="9" t="s">
        <v>12</v>
      </c>
      <c r="E1108" s="57" t="s">
        <v>163</v>
      </c>
      <c r="F1108" s="58"/>
      <c r="G1108" s="58">
        <v>4</v>
      </c>
      <c r="H1108" s="58" t="s">
        <v>10</v>
      </c>
    </row>
    <row r="1109" spans="2:8" ht="15" customHeight="1" x14ac:dyDescent="0.3">
      <c r="B1109" s="86">
        <v>45698</v>
      </c>
      <c r="C1109" s="37" t="s">
        <v>167</v>
      </c>
      <c r="D1109" s="93" t="s">
        <v>12</v>
      </c>
      <c r="E1109" s="93" t="s">
        <v>168</v>
      </c>
      <c r="F1109" s="58"/>
      <c r="G1109" s="58">
        <v>7</v>
      </c>
      <c r="H1109" s="58" t="s">
        <v>10</v>
      </c>
    </row>
    <row r="1110" spans="2:8" ht="15" customHeight="1" x14ac:dyDescent="0.3">
      <c r="B1110" s="86">
        <v>45699</v>
      </c>
      <c r="C1110" s="9" t="s">
        <v>45</v>
      </c>
      <c r="D1110" s="9" t="s">
        <v>12</v>
      </c>
      <c r="E1110" s="57" t="s">
        <v>59</v>
      </c>
      <c r="F1110" s="58"/>
      <c r="G1110" s="58">
        <v>32</v>
      </c>
      <c r="H1110" s="58" t="s">
        <v>10</v>
      </c>
    </row>
    <row r="1111" spans="2:8" ht="15" customHeight="1" x14ac:dyDescent="0.3">
      <c r="B1111" s="86">
        <v>45699</v>
      </c>
      <c r="C1111" s="9" t="s">
        <v>30</v>
      </c>
      <c r="D1111" s="9" t="s">
        <v>8</v>
      </c>
      <c r="E1111" s="57" t="s">
        <v>31</v>
      </c>
      <c r="F1111" s="58"/>
      <c r="G1111" s="58">
        <v>1</v>
      </c>
      <c r="H1111" s="58" t="s">
        <v>10</v>
      </c>
    </row>
    <row r="1112" spans="2:8" ht="15" customHeight="1" x14ac:dyDescent="0.3">
      <c r="B1112" s="86">
        <v>45700</v>
      </c>
      <c r="C1112" s="9" t="s">
        <v>53</v>
      </c>
      <c r="D1112" s="9"/>
      <c r="E1112" s="57" t="s">
        <v>54</v>
      </c>
      <c r="F1112" s="58">
        <v>16</v>
      </c>
      <c r="G1112" s="58"/>
      <c r="H1112" s="58" t="s">
        <v>18</v>
      </c>
    </row>
    <row r="1113" spans="2:8" ht="15" customHeight="1" x14ac:dyDescent="0.3">
      <c r="B1113" s="86">
        <v>45700</v>
      </c>
      <c r="C1113" s="18" t="s">
        <v>115</v>
      </c>
      <c r="D1113" s="96" t="s">
        <v>12</v>
      </c>
      <c r="E1113" s="57" t="s">
        <v>116</v>
      </c>
      <c r="F1113" s="58">
        <v>10</v>
      </c>
      <c r="G1113" s="58"/>
      <c r="H1113" s="58" t="s">
        <v>18</v>
      </c>
    </row>
    <row r="1114" spans="2:8" ht="15" customHeight="1" x14ac:dyDescent="0.3">
      <c r="B1114" s="86">
        <v>45700</v>
      </c>
      <c r="C1114" s="9" t="s">
        <v>39</v>
      </c>
      <c r="D1114" s="9" t="s">
        <v>20</v>
      </c>
      <c r="E1114" s="57" t="s">
        <v>40</v>
      </c>
      <c r="F1114" s="58">
        <v>10.23</v>
      </c>
      <c r="G1114" s="58"/>
      <c r="H1114" s="58" t="s">
        <v>18</v>
      </c>
    </row>
    <row r="1115" spans="2:8" ht="15" customHeight="1" x14ac:dyDescent="0.3">
      <c r="B1115" s="86">
        <v>45700</v>
      </c>
      <c r="C1115" s="9" t="s">
        <v>41</v>
      </c>
      <c r="D1115" s="9" t="s">
        <v>20</v>
      </c>
      <c r="E1115" s="57" t="s">
        <v>42</v>
      </c>
      <c r="F1115" s="58">
        <v>12.44</v>
      </c>
      <c r="G1115" s="58"/>
      <c r="H1115" s="58" t="s">
        <v>18</v>
      </c>
    </row>
    <row r="1116" spans="2:8" ht="15" customHeight="1" x14ac:dyDescent="0.3">
      <c r="B1116" s="86">
        <v>45700</v>
      </c>
      <c r="C1116" s="8" t="s">
        <v>93</v>
      </c>
      <c r="D1116" s="9" t="s">
        <v>12</v>
      </c>
      <c r="E1116" s="57" t="s">
        <v>94</v>
      </c>
      <c r="F1116" s="58"/>
      <c r="G1116" s="58">
        <v>5</v>
      </c>
      <c r="H1116" s="58" t="s">
        <v>10</v>
      </c>
    </row>
    <row r="1117" spans="2:8" ht="15" customHeight="1" x14ac:dyDescent="0.3">
      <c r="B1117" s="86">
        <v>45700</v>
      </c>
      <c r="C1117" s="48" t="s">
        <v>79</v>
      </c>
      <c r="D1117" s="34" t="s">
        <v>20</v>
      </c>
      <c r="E1117" s="93" t="s">
        <v>82</v>
      </c>
      <c r="F1117" s="36">
        <v>20</v>
      </c>
      <c r="G1117" s="36"/>
      <c r="H1117" s="36" t="s">
        <v>18</v>
      </c>
    </row>
    <row r="1118" spans="2:8" ht="15" customHeight="1" x14ac:dyDescent="0.3">
      <c r="B1118" s="86">
        <v>45700</v>
      </c>
      <c r="C1118" s="48" t="s">
        <v>26</v>
      </c>
      <c r="D1118" s="34" t="s">
        <v>20</v>
      </c>
      <c r="E1118" s="35" t="s">
        <v>27</v>
      </c>
      <c r="F1118" s="36">
        <v>2</v>
      </c>
      <c r="G1118" s="36"/>
      <c r="H1118" s="36" t="s">
        <v>18</v>
      </c>
    </row>
    <row r="1119" spans="2:8" ht="15" customHeight="1" x14ac:dyDescent="0.3">
      <c r="B1119" s="86">
        <v>45701</v>
      </c>
      <c r="C1119" s="9" t="s">
        <v>30</v>
      </c>
      <c r="D1119" s="9" t="s">
        <v>8</v>
      </c>
      <c r="E1119" s="57" t="s">
        <v>31</v>
      </c>
      <c r="F1119" s="58">
        <v>1</v>
      </c>
      <c r="G1119" s="58"/>
      <c r="H1119" s="36" t="s">
        <v>18</v>
      </c>
    </row>
    <row r="1120" spans="2:8" ht="15" customHeight="1" x14ac:dyDescent="0.3">
      <c r="B1120" s="86">
        <v>45701</v>
      </c>
      <c r="C1120" s="9" t="s">
        <v>7</v>
      </c>
      <c r="D1120" s="9" t="s">
        <v>8</v>
      </c>
      <c r="E1120" s="57" t="s">
        <v>9</v>
      </c>
      <c r="F1120" s="58">
        <v>1</v>
      </c>
      <c r="G1120" s="58"/>
      <c r="H1120" s="36" t="s">
        <v>18</v>
      </c>
    </row>
    <row r="1121" spans="2:8" ht="15" customHeight="1" x14ac:dyDescent="0.3">
      <c r="B1121" s="86">
        <v>45701</v>
      </c>
      <c r="C1121" s="9" t="s">
        <v>7</v>
      </c>
      <c r="D1121" s="9" t="s">
        <v>8</v>
      </c>
      <c r="E1121" s="57" t="s">
        <v>9</v>
      </c>
      <c r="F1121" s="58"/>
      <c r="G1121" s="58">
        <v>1</v>
      </c>
      <c r="H1121" s="36" t="s">
        <v>10</v>
      </c>
    </row>
    <row r="1122" spans="2:8" ht="15" customHeight="1" x14ac:dyDescent="0.3">
      <c r="B1122" s="86">
        <v>45701</v>
      </c>
      <c r="C1122" s="9" t="s">
        <v>39</v>
      </c>
      <c r="D1122" s="9" t="s">
        <v>20</v>
      </c>
      <c r="E1122" s="57" t="s">
        <v>40</v>
      </c>
      <c r="F1122" s="58"/>
      <c r="G1122" s="58">
        <f>14.2-12.6</f>
        <v>1.5999999999999996</v>
      </c>
      <c r="H1122" s="36" t="s">
        <v>10</v>
      </c>
    </row>
    <row r="1123" spans="2:8" ht="15" customHeight="1" x14ac:dyDescent="0.3">
      <c r="B1123" s="86">
        <v>45701</v>
      </c>
      <c r="C1123" s="9" t="s">
        <v>41</v>
      </c>
      <c r="D1123" s="9" t="s">
        <v>20</v>
      </c>
      <c r="E1123" s="57" t="s">
        <v>42</v>
      </c>
      <c r="F1123" s="58"/>
      <c r="G1123" s="58">
        <f>12.54-6.9</f>
        <v>5.6399999999999988</v>
      </c>
      <c r="H1123" s="36" t="s">
        <v>10</v>
      </c>
    </row>
    <row r="1124" spans="2:8" ht="15" customHeight="1" x14ac:dyDescent="0.3">
      <c r="B1124" s="86">
        <v>45701</v>
      </c>
      <c r="C1124" s="9" t="s">
        <v>53</v>
      </c>
      <c r="D1124" s="9" t="s">
        <v>12</v>
      </c>
      <c r="E1124" s="57" t="s">
        <v>54</v>
      </c>
      <c r="F1124" s="58"/>
      <c r="G1124" s="58">
        <v>16</v>
      </c>
      <c r="H1124" s="36" t="s">
        <v>10</v>
      </c>
    </row>
    <row r="1125" spans="2:8" ht="15" customHeight="1" x14ac:dyDescent="0.3">
      <c r="B1125" s="86">
        <v>45701</v>
      </c>
      <c r="C1125" s="99" t="s">
        <v>110</v>
      </c>
      <c r="D1125" s="9" t="s">
        <v>12</v>
      </c>
      <c r="E1125" s="57" t="s">
        <v>111</v>
      </c>
      <c r="F1125" s="58"/>
      <c r="G1125" s="58">
        <v>33</v>
      </c>
      <c r="H1125" s="36" t="s">
        <v>10</v>
      </c>
    </row>
    <row r="1126" spans="2:8" ht="15" customHeight="1" x14ac:dyDescent="0.3">
      <c r="B1126" s="86">
        <v>45701</v>
      </c>
      <c r="C1126" s="9" t="s">
        <v>28</v>
      </c>
      <c r="D1126" s="9" t="s">
        <v>8</v>
      </c>
      <c r="E1126" s="57" t="s">
        <v>29</v>
      </c>
      <c r="F1126" s="58"/>
      <c r="G1126" s="58">
        <v>1</v>
      </c>
      <c r="H1126" s="36" t="s">
        <v>10</v>
      </c>
    </row>
    <row r="1127" spans="2:8" ht="15" customHeight="1" x14ac:dyDescent="0.3">
      <c r="B1127" s="86">
        <v>45702</v>
      </c>
      <c r="C1127" s="95" t="s">
        <v>57</v>
      </c>
      <c r="D1127" s="96" t="s">
        <v>12</v>
      </c>
      <c r="E1127" s="97" t="s">
        <v>58</v>
      </c>
      <c r="F1127" s="58"/>
      <c r="G1127" s="58">
        <v>24</v>
      </c>
      <c r="H1127" s="36" t="s">
        <v>10</v>
      </c>
    </row>
    <row r="1128" spans="2:8" ht="15" customHeight="1" x14ac:dyDescent="0.3">
      <c r="B1128" s="86">
        <v>45702</v>
      </c>
      <c r="C1128" s="9" t="s">
        <v>7</v>
      </c>
      <c r="D1128" s="9" t="s">
        <v>8</v>
      </c>
      <c r="E1128" s="57" t="s">
        <v>9</v>
      </c>
      <c r="F1128" s="58">
        <v>3</v>
      </c>
      <c r="G1128" s="58"/>
      <c r="H1128" s="36" t="s">
        <v>18</v>
      </c>
    </row>
    <row r="1129" spans="2:8" ht="15" customHeight="1" x14ac:dyDescent="0.3">
      <c r="B1129" s="86">
        <v>45702</v>
      </c>
      <c r="C1129" s="9" t="s">
        <v>28</v>
      </c>
      <c r="D1129" s="9" t="s">
        <v>8</v>
      </c>
      <c r="E1129" s="57" t="s">
        <v>29</v>
      </c>
      <c r="F1129" s="58">
        <v>3</v>
      </c>
      <c r="G1129" s="58"/>
      <c r="H1129" s="36" t="s">
        <v>18</v>
      </c>
    </row>
    <row r="1130" spans="2:8" ht="15" customHeight="1" x14ac:dyDescent="0.3">
      <c r="B1130" s="86">
        <v>45702</v>
      </c>
      <c r="C1130" s="26" t="s">
        <v>101</v>
      </c>
      <c r="D1130" s="9" t="s">
        <v>8</v>
      </c>
      <c r="E1130" s="57" t="s">
        <v>102</v>
      </c>
      <c r="F1130" s="58">
        <v>1</v>
      </c>
      <c r="G1130" s="58"/>
      <c r="H1130" s="58" t="s">
        <v>18</v>
      </c>
    </row>
    <row r="1131" spans="2:8" ht="15" customHeight="1" x14ac:dyDescent="0.3">
      <c r="B1131" s="86">
        <v>45702</v>
      </c>
      <c r="C1131" s="9" t="s">
        <v>77</v>
      </c>
      <c r="D1131" s="9" t="s">
        <v>20</v>
      </c>
      <c r="E1131" s="57" t="s">
        <v>78</v>
      </c>
      <c r="F1131" s="58">
        <v>1.5</v>
      </c>
      <c r="G1131" s="58"/>
      <c r="H1131" s="58" t="s">
        <v>18</v>
      </c>
    </row>
    <row r="1132" spans="2:8" ht="15" customHeight="1" x14ac:dyDescent="0.3">
      <c r="B1132" s="86">
        <v>45702</v>
      </c>
      <c r="C1132" s="99" t="s">
        <v>110</v>
      </c>
      <c r="D1132" s="9" t="s">
        <v>12</v>
      </c>
      <c r="E1132" s="57" t="s">
        <v>111</v>
      </c>
      <c r="F1132" s="58">
        <v>60</v>
      </c>
      <c r="G1132" s="58"/>
      <c r="H1132" s="58" t="s">
        <v>18</v>
      </c>
    </row>
    <row r="1133" spans="2:8" ht="15" customHeight="1" x14ac:dyDescent="0.3">
      <c r="B1133" s="86">
        <v>45702</v>
      </c>
      <c r="C1133" s="9" t="s">
        <v>75</v>
      </c>
      <c r="D1133" s="9" t="s">
        <v>8</v>
      </c>
      <c r="E1133" s="57" t="s">
        <v>76</v>
      </c>
      <c r="F1133" s="58"/>
      <c r="G1133" s="58">
        <v>1</v>
      </c>
      <c r="H1133" s="58" t="s">
        <v>10</v>
      </c>
    </row>
    <row r="1134" spans="2:8" ht="15" customHeight="1" x14ac:dyDescent="0.3">
      <c r="B1134" s="86">
        <v>45702</v>
      </c>
      <c r="C1134" s="9" t="s">
        <v>55</v>
      </c>
      <c r="D1134" s="9" t="s">
        <v>12</v>
      </c>
      <c r="E1134" s="57" t="s">
        <v>56</v>
      </c>
      <c r="F1134" s="58"/>
      <c r="G1134" s="58">
        <v>10</v>
      </c>
      <c r="H1134" s="58" t="s">
        <v>10</v>
      </c>
    </row>
    <row r="1135" spans="2:8" ht="15" customHeight="1" x14ac:dyDescent="0.3">
      <c r="B1135" s="86">
        <v>45703</v>
      </c>
      <c r="C1135" s="9" t="s">
        <v>7</v>
      </c>
      <c r="D1135" s="9" t="s">
        <v>8</v>
      </c>
      <c r="E1135" s="57" t="s">
        <v>9</v>
      </c>
      <c r="F1135" s="58"/>
      <c r="G1135" s="58">
        <v>1</v>
      </c>
      <c r="H1135" s="58" t="s">
        <v>10</v>
      </c>
    </row>
    <row r="1136" spans="2:8" ht="15" customHeight="1" x14ac:dyDescent="0.3">
      <c r="B1136" s="86">
        <v>45703</v>
      </c>
      <c r="C1136" s="9" t="s">
        <v>28</v>
      </c>
      <c r="D1136" s="9" t="s">
        <v>8</v>
      </c>
      <c r="E1136" s="57" t="s">
        <v>29</v>
      </c>
      <c r="F1136" s="58"/>
      <c r="G1136" s="58">
        <v>1</v>
      </c>
      <c r="H1136" s="58" t="s">
        <v>10</v>
      </c>
    </row>
    <row r="1137" spans="2:8" ht="15" customHeight="1" x14ac:dyDescent="0.3">
      <c r="B1137" s="86">
        <v>45704</v>
      </c>
      <c r="C1137" s="8" t="s">
        <v>93</v>
      </c>
      <c r="D1137" s="9" t="s">
        <v>12</v>
      </c>
      <c r="E1137" s="57" t="s">
        <v>94</v>
      </c>
      <c r="F1137" s="58"/>
      <c r="G1137" s="58">
        <v>3</v>
      </c>
      <c r="H1137" s="58" t="s">
        <v>10</v>
      </c>
    </row>
    <row r="1138" spans="2:8" ht="15" customHeight="1" x14ac:dyDescent="0.3">
      <c r="B1138" s="86">
        <v>45704</v>
      </c>
      <c r="C1138" s="9" t="s">
        <v>11</v>
      </c>
      <c r="D1138" s="9" t="s">
        <v>12</v>
      </c>
      <c r="E1138" s="57" t="s">
        <v>13</v>
      </c>
      <c r="F1138" s="58"/>
      <c r="G1138" s="58">
        <v>7</v>
      </c>
      <c r="H1138" s="58" t="s">
        <v>10</v>
      </c>
    </row>
    <row r="1139" spans="2:8" ht="15" customHeight="1" x14ac:dyDescent="0.3">
      <c r="B1139" s="86">
        <v>45704</v>
      </c>
      <c r="C1139" s="9" t="s">
        <v>57</v>
      </c>
      <c r="D1139" s="9" t="s">
        <v>12</v>
      </c>
      <c r="E1139" s="100" t="s">
        <v>58</v>
      </c>
      <c r="F1139" s="58"/>
      <c r="G1139" s="58">
        <v>16</v>
      </c>
      <c r="H1139" s="58" t="s">
        <v>10</v>
      </c>
    </row>
    <row r="1140" spans="2:8" ht="15" customHeight="1" x14ac:dyDescent="0.3">
      <c r="B1140" s="86">
        <v>45704</v>
      </c>
      <c r="C1140" s="9" t="s">
        <v>55</v>
      </c>
      <c r="D1140" s="9" t="s">
        <v>12</v>
      </c>
      <c r="E1140" s="57" t="s">
        <v>56</v>
      </c>
      <c r="F1140" s="58"/>
      <c r="G1140" s="58">
        <v>10</v>
      </c>
      <c r="H1140" s="58" t="s">
        <v>10</v>
      </c>
    </row>
    <row r="1141" spans="2:8" ht="15" customHeight="1" x14ac:dyDescent="0.3">
      <c r="B1141" s="86">
        <v>45704</v>
      </c>
      <c r="C1141" s="9" t="s">
        <v>45</v>
      </c>
      <c r="D1141" s="9" t="s">
        <v>12</v>
      </c>
      <c r="E1141" s="57" t="s">
        <v>59</v>
      </c>
      <c r="F1141" s="58"/>
      <c r="G1141" s="58">
        <v>48</v>
      </c>
      <c r="H1141" s="58" t="s">
        <v>10</v>
      </c>
    </row>
    <row r="1142" spans="2:8" ht="15" customHeight="1" x14ac:dyDescent="0.3">
      <c r="B1142" s="86">
        <v>45704</v>
      </c>
      <c r="C1142" s="37" t="s">
        <v>167</v>
      </c>
      <c r="D1142" s="9" t="s">
        <v>12</v>
      </c>
      <c r="E1142" s="93" t="s">
        <v>168</v>
      </c>
      <c r="F1142" s="58"/>
      <c r="G1142" s="58">
        <v>2</v>
      </c>
      <c r="H1142" s="58" t="s">
        <v>10</v>
      </c>
    </row>
    <row r="1143" spans="2:8" ht="15" customHeight="1" x14ac:dyDescent="0.3">
      <c r="B1143" s="86">
        <v>45704</v>
      </c>
      <c r="C1143" s="9" t="s">
        <v>14</v>
      </c>
      <c r="D1143" s="9" t="s">
        <v>12</v>
      </c>
      <c r="E1143" s="100" t="s">
        <v>15</v>
      </c>
      <c r="F1143" s="58"/>
      <c r="G1143" s="58">
        <v>14</v>
      </c>
      <c r="H1143" s="58" t="s">
        <v>10</v>
      </c>
    </row>
    <row r="1144" spans="2:8" ht="15" customHeight="1" x14ac:dyDescent="0.3">
      <c r="B1144" s="86">
        <v>45704</v>
      </c>
      <c r="C1144" s="8" t="s">
        <v>93</v>
      </c>
      <c r="D1144" s="9" t="s">
        <v>12</v>
      </c>
      <c r="E1144" s="57" t="s">
        <v>94</v>
      </c>
      <c r="F1144" s="58"/>
      <c r="G1144" s="58">
        <v>3</v>
      </c>
      <c r="H1144" s="58" t="s">
        <v>10</v>
      </c>
    </row>
    <row r="1145" spans="2:8" ht="15" customHeight="1" x14ac:dyDescent="0.3">
      <c r="B1145" s="86">
        <v>45704</v>
      </c>
      <c r="C1145" s="9" t="s">
        <v>7</v>
      </c>
      <c r="D1145" s="9" t="s">
        <v>8</v>
      </c>
      <c r="E1145" s="57" t="s">
        <v>9</v>
      </c>
      <c r="F1145" s="58"/>
      <c r="G1145" s="58">
        <v>1</v>
      </c>
      <c r="H1145" s="58" t="s">
        <v>10</v>
      </c>
    </row>
    <row r="1146" spans="2:8" ht="15" customHeight="1" x14ac:dyDescent="0.3">
      <c r="B1146" s="86">
        <v>45704</v>
      </c>
      <c r="C1146" s="9" t="s">
        <v>28</v>
      </c>
      <c r="D1146" s="9" t="s">
        <v>8</v>
      </c>
      <c r="E1146" s="57" t="s">
        <v>29</v>
      </c>
      <c r="F1146" s="58"/>
      <c r="G1146" s="58">
        <v>1</v>
      </c>
      <c r="H1146" s="58" t="s">
        <v>10</v>
      </c>
    </row>
    <row r="1147" spans="2:8" ht="15" customHeight="1" x14ac:dyDescent="0.3">
      <c r="B1147" s="86">
        <v>45704</v>
      </c>
      <c r="C1147" s="9" t="s">
        <v>30</v>
      </c>
      <c r="D1147" s="9" t="s">
        <v>8</v>
      </c>
      <c r="E1147" s="57" t="s">
        <v>31</v>
      </c>
      <c r="F1147" s="58"/>
      <c r="G1147" s="58">
        <v>1</v>
      </c>
      <c r="H1147" s="58" t="s">
        <v>10</v>
      </c>
    </row>
    <row r="1148" spans="2:8" ht="15" customHeight="1" x14ac:dyDescent="0.3">
      <c r="B1148" s="86">
        <v>45705</v>
      </c>
      <c r="C1148" s="9" t="s">
        <v>30</v>
      </c>
      <c r="D1148" s="9" t="s">
        <v>8</v>
      </c>
      <c r="E1148" s="57" t="s">
        <v>31</v>
      </c>
      <c r="F1148" s="58">
        <v>1</v>
      </c>
      <c r="G1148" s="58"/>
      <c r="H1148" s="58" t="s">
        <v>18</v>
      </c>
    </row>
    <row r="1149" spans="2:8" ht="15" customHeight="1" x14ac:dyDescent="0.3">
      <c r="B1149" s="86">
        <v>45705</v>
      </c>
      <c r="C1149" s="9" t="s">
        <v>43</v>
      </c>
      <c r="D1149" s="9" t="s">
        <v>20</v>
      </c>
      <c r="E1149" s="57" t="s">
        <v>44</v>
      </c>
      <c r="F1149" s="58">
        <v>13.2</v>
      </c>
      <c r="G1149" s="58"/>
      <c r="H1149" s="58" t="s">
        <v>18</v>
      </c>
    </row>
    <row r="1150" spans="2:8" ht="15" customHeight="1" x14ac:dyDescent="0.3">
      <c r="B1150" s="86">
        <v>45705</v>
      </c>
      <c r="C1150" s="9" t="s">
        <v>43</v>
      </c>
      <c r="D1150" s="9" t="s">
        <v>20</v>
      </c>
      <c r="E1150" s="57" t="s">
        <v>44</v>
      </c>
      <c r="F1150" s="58"/>
      <c r="G1150" s="58">
        <f>18.7-12.8</f>
        <v>5.8999999999999986</v>
      </c>
      <c r="H1150" s="58" t="s">
        <v>10</v>
      </c>
    </row>
    <row r="1151" spans="2:8" ht="15" customHeight="1" x14ac:dyDescent="0.3">
      <c r="B1151" s="86">
        <v>45705</v>
      </c>
      <c r="C1151" s="9" t="s">
        <v>77</v>
      </c>
      <c r="D1151" s="9" t="s">
        <v>20</v>
      </c>
      <c r="E1151" s="57" t="s">
        <v>169</v>
      </c>
      <c r="F1151" s="58"/>
      <c r="G1151" s="58">
        <v>0.6</v>
      </c>
      <c r="H1151" s="58" t="s">
        <v>10</v>
      </c>
    </row>
    <row r="1152" spans="2:8" ht="15" customHeight="1" x14ac:dyDescent="0.3">
      <c r="B1152" s="86">
        <v>45705</v>
      </c>
      <c r="C1152" s="9" t="s">
        <v>51</v>
      </c>
      <c r="D1152" s="9" t="s">
        <v>20</v>
      </c>
      <c r="E1152" s="57" t="s">
        <v>170</v>
      </c>
      <c r="F1152" s="58"/>
      <c r="G1152" s="58">
        <v>2.5</v>
      </c>
      <c r="H1152" s="58" t="s">
        <v>10</v>
      </c>
    </row>
    <row r="1153" spans="2:8" ht="15" customHeight="1" x14ac:dyDescent="0.3">
      <c r="B1153" s="86">
        <v>45705</v>
      </c>
      <c r="C1153" s="9" t="s">
        <v>73</v>
      </c>
      <c r="D1153" s="9" t="s">
        <v>71</v>
      </c>
      <c r="E1153" s="57" t="s">
        <v>74</v>
      </c>
      <c r="F1153" s="58"/>
      <c r="G1153" s="58">
        <v>1</v>
      </c>
      <c r="H1153" s="58" t="s">
        <v>10</v>
      </c>
    </row>
    <row r="1154" spans="2:8" ht="15" customHeight="1" x14ac:dyDescent="0.3">
      <c r="B1154" s="86">
        <v>45705</v>
      </c>
      <c r="C1154" s="9" t="s">
        <v>39</v>
      </c>
      <c r="D1154" s="9" t="s">
        <v>20</v>
      </c>
      <c r="E1154" s="57" t="s">
        <v>40</v>
      </c>
      <c r="F1154" s="58"/>
      <c r="G1154" s="58">
        <f>12-3</f>
        <v>9</v>
      </c>
      <c r="H1154" s="58" t="s">
        <v>10</v>
      </c>
    </row>
    <row r="1155" spans="2:8" ht="15" customHeight="1" x14ac:dyDescent="0.3">
      <c r="B1155" s="86">
        <v>45705</v>
      </c>
      <c r="C1155" s="9" t="s">
        <v>41</v>
      </c>
      <c r="D1155" s="9" t="s">
        <v>20</v>
      </c>
      <c r="E1155" s="57" t="s">
        <v>42</v>
      </c>
      <c r="F1155" s="58"/>
      <c r="G1155" s="58">
        <f>6.9-2</f>
        <v>4.9000000000000004</v>
      </c>
      <c r="H1155" s="58" t="s">
        <v>10</v>
      </c>
    </row>
    <row r="1156" spans="2:8" ht="15" customHeight="1" x14ac:dyDescent="0.3">
      <c r="B1156" s="86">
        <v>45705</v>
      </c>
      <c r="C1156" s="9" t="s">
        <v>80</v>
      </c>
      <c r="D1156" s="9" t="s">
        <v>71</v>
      </c>
      <c r="E1156" s="57" t="s">
        <v>81</v>
      </c>
      <c r="F1156" s="58"/>
      <c r="G1156" s="58">
        <v>1</v>
      </c>
      <c r="H1156" s="58" t="s">
        <v>10</v>
      </c>
    </row>
    <row r="1157" spans="2:8" ht="15" customHeight="1" x14ac:dyDescent="0.3">
      <c r="B1157" s="86">
        <v>45705</v>
      </c>
      <c r="C1157" s="9" t="s">
        <v>70</v>
      </c>
      <c r="D1157" s="9" t="s">
        <v>71</v>
      </c>
      <c r="E1157" s="57" t="s">
        <v>72</v>
      </c>
      <c r="F1157" s="58"/>
      <c r="G1157" s="58">
        <v>1</v>
      </c>
      <c r="H1157" s="58" t="s">
        <v>10</v>
      </c>
    </row>
    <row r="1158" spans="2:8" ht="15" customHeight="1" x14ac:dyDescent="0.3">
      <c r="B1158" s="86">
        <v>45705</v>
      </c>
      <c r="C1158" s="9" t="s">
        <v>45</v>
      </c>
      <c r="D1158" s="9" t="s">
        <v>12</v>
      </c>
      <c r="E1158" s="57" t="s">
        <v>59</v>
      </c>
      <c r="F1158" s="58"/>
      <c r="G1158" s="58">
        <v>16</v>
      </c>
      <c r="H1158" s="58" t="s">
        <v>10</v>
      </c>
    </row>
    <row r="1159" spans="2:8" ht="15" customHeight="1" x14ac:dyDescent="0.3">
      <c r="B1159" s="86">
        <v>45705</v>
      </c>
      <c r="C1159" s="9" t="s">
        <v>14</v>
      </c>
      <c r="D1159" s="9" t="s">
        <v>12</v>
      </c>
      <c r="E1159" s="57" t="s">
        <v>15</v>
      </c>
      <c r="F1159" s="58"/>
      <c r="G1159" s="58">
        <v>2</v>
      </c>
      <c r="H1159" s="58" t="s">
        <v>10</v>
      </c>
    </row>
    <row r="1160" spans="2:8" ht="15" customHeight="1" x14ac:dyDescent="0.3">
      <c r="B1160" s="86">
        <v>45705</v>
      </c>
      <c r="C1160" s="9" t="s">
        <v>11</v>
      </c>
      <c r="D1160" s="9" t="s">
        <v>12</v>
      </c>
      <c r="E1160" s="57" t="s">
        <v>13</v>
      </c>
      <c r="F1160" s="58"/>
      <c r="G1160" s="58">
        <v>7</v>
      </c>
      <c r="H1160" s="58" t="s">
        <v>10</v>
      </c>
    </row>
    <row r="1161" spans="2:8" ht="15" customHeight="1" x14ac:dyDescent="0.3">
      <c r="B1161" s="86">
        <v>45705</v>
      </c>
      <c r="C1161" s="20" t="s">
        <v>26</v>
      </c>
      <c r="D1161" s="9" t="s">
        <v>20</v>
      </c>
      <c r="E1161" s="57" t="s">
        <v>27</v>
      </c>
      <c r="F1161" s="58"/>
      <c r="G1161" s="58">
        <v>0.4</v>
      </c>
      <c r="H1161" s="58" t="s">
        <v>10</v>
      </c>
    </row>
    <row r="1162" spans="2:8" ht="15" customHeight="1" x14ac:dyDescent="0.3">
      <c r="B1162" s="86">
        <v>45705</v>
      </c>
      <c r="C1162" s="18" t="s">
        <v>115</v>
      </c>
      <c r="D1162" s="9" t="s">
        <v>12</v>
      </c>
      <c r="E1162" s="18" t="s">
        <v>116</v>
      </c>
      <c r="F1162" s="58"/>
      <c r="G1162" s="58">
        <v>3</v>
      </c>
      <c r="H1162" s="58" t="s">
        <v>10</v>
      </c>
    </row>
    <row r="1163" spans="2:8" ht="15" customHeight="1" x14ac:dyDescent="0.3">
      <c r="B1163" s="86">
        <v>45705</v>
      </c>
      <c r="C1163" s="14" t="s">
        <v>110</v>
      </c>
      <c r="D1163" s="18" t="s">
        <v>12</v>
      </c>
      <c r="E1163" s="18" t="s">
        <v>111</v>
      </c>
      <c r="F1163" s="58"/>
      <c r="G1163" s="58">
        <v>60</v>
      </c>
      <c r="H1163" s="58" t="s">
        <v>10</v>
      </c>
    </row>
    <row r="1164" spans="2:8" ht="15" customHeight="1" x14ac:dyDescent="0.3">
      <c r="B1164" s="86">
        <v>45705</v>
      </c>
      <c r="C1164" s="9" t="s">
        <v>57</v>
      </c>
      <c r="D1164" s="9" t="s">
        <v>12</v>
      </c>
      <c r="E1164" s="57" t="s">
        <v>58</v>
      </c>
      <c r="F1164" s="58"/>
      <c r="G1164" s="58">
        <v>24</v>
      </c>
      <c r="H1164" s="58" t="s">
        <v>10</v>
      </c>
    </row>
    <row r="1165" spans="2:8" ht="15" customHeight="1" x14ac:dyDescent="0.3">
      <c r="B1165" s="86">
        <v>45706</v>
      </c>
      <c r="C1165" s="14" t="s">
        <v>61</v>
      </c>
      <c r="D1165" s="18" t="s">
        <v>20</v>
      </c>
      <c r="E1165" s="57" t="s">
        <v>62</v>
      </c>
      <c r="F1165" s="58">
        <v>10</v>
      </c>
      <c r="G1165" s="58"/>
      <c r="H1165" s="58" t="s">
        <v>18</v>
      </c>
    </row>
    <row r="1166" spans="2:8" ht="15" customHeight="1" x14ac:dyDescent="0.3">
      <c r="B1166" s="86">
        <v>45706</v>
      </c>
      <c r="C1166" s="9" t="s">
        <v>39</v>
      </c>
      <c r="D1166" s="9" t="s">
        <v>20</v>
      </c>
      <c r="E1166" s="57" t="s">
        <v>40</v>
      </c>
      <c r="F1166" s="58">
        <f>10.9/2</f>
        <v>5.45</v>
      </c>
      <c r="G1166" s="58"/>
      <c r="H1166" s="58" t="s">
        <v>18</v>
      </c>
    </row>
    <row r="1167" spans="2:8" ht="15" customHeight="1" x14ac:dyDescent="0.3">
      <c r="B1167" s="86">
        <v>45706</v>
      </c>
      <c r="C1167" s="9" t="s">
        <v>41</v>
      </c>
      <c r="D1167" s="9" t="s">
        <v>20</v>
      </c>
      <c r="E1167" s="57" t="s">
        <v>42</v>
      </c>
      <c r="F1167" s="58">
        <f>10.9/2</f>
        <v>5.45</v>
      </c>
      <c r="G1167" s="58"/>
      <c r="H1167" s="58" t="s">
        <v>18</v>
      </c>
    </row>
    <row r="1168" spans="2:8" ht="15" customHeight="1" x14ac:dyDescent="0.3">
      <c r="B1168" s="86">
        <v>45706</v>
      </c>
      <c r="C1168" s="8" t="s">
        <v>93</v>
      </c>
      <c r="D1168" s="9" t="s">
        <v>12</v>
      </c>
      <c r="E1168" s="57" t="s">
        <v>94</v>
      </c>
      <c r="F1168" s="58">
        <v>20</v>
      </c>
      <c r="G1168" s="58"/>
      <c r="H1168" s="58" t="s">
        <v>18</v>
      </c>
    </row>
    <row r="1169" spans="2:8" ht="15" customHeight="1" x14ac:dyDescent="0.3">
      <c r="B1169" s="86">
        <v>45706</v>
      </c>
      <c r="C1169" s="37" t="s">
        <v>167</v>
      </c>
      <c r="D1169" s="93" t="s">
        <v>12</v>
      </c>
      <c r="E1169" s="57" t="s">
        <v>168</v>
      </c>
      <c r="F1169" s="58">
        <v>12</v>
      </c>
      <c r="G1169" s="58"/>
      <c r="H1169" s="58" t="s">
        <v>18</v>
      </c>
    </row>
    <row r="1170" spans="2:8" ht="15" customHeight="1" x14ac:dyDescent="0.3">
      <c r="B1170" s="86">
        <v>45707</v>
      </c>
      <c r="C1170" s="18" t="s">
        <v>79</v>
      </c>
      <c r="D1170" s="18" t="s">
        <v>20</v>
      </c>
      <c r="E1170" s="18" t="s">
        <v>82</v>
      </c>
      <c r="F1170" s="58"/>
      <c r="G1170" s="58">
        <v>1</v>
      </c>
      <c r="H1170" s="58" t="s">
        <v>10</v>
      </c>
    </row>
    <row r="1171" spans="2:8" ht="15" customHeight="1" x14ac:dyDescent="0.3">
      <c r="B1171" s="86">
        <v>45707</v>
      </c>
      <c r="C1171" s="9" t="s">
        <v>57</v>
      </c>
      <c r="D1171" s="9" t="s">
        <v>12</v>
      </c>
      <c r="E1171" s="57" t="s">
        <v>58</v>
      </c>
      <c r="F1171" s="58"/>
      <c r="G1171" s="58">
        <v>80</v>
      </c>
      <c r="H1171" s="58" t="s">
        <v>10</v>
      </c>
    </row>
    <row r="1172" spans="2:8" ht="15" customHeight="1" x14ac:dyDescent="0.3">
      <c r="B1172" s="86">
        <v>45707</v>
      </c>
      <c r="C1172" s="9" t="s">
        <v>127</v>
      </c>
      <c r="D1172" s="9" t="s">
        <v>12</v>
      </c>
      <c r="E1172" s="57" t="s">
        <v>99</v>
      </c>
      <c r="F1172" s="58"/>
      <c r="G1172" s="58">
        <v>8</v>
      </c>
      <c r="H1172" s="58" t="s">
        <v>10</v>
      </c>
    </row>
    <row r="1173" spans="2:8" ht="15" customHeight="1" x14ac:dyDescent="0.3">
      <c r="B1173" s="86">
        <v>45707</v>
      </c>
      <c r="C1173" s="9" t="s">
        <v>75</v>
      </c>
      <c r="D1173" s="9" t="s">
        <v>8</v>
      </c>
      <c r="E1173" s="57" t="s">
        <v>76</v>
      </c>
      <c r="F1173" s="58">
        <v>1</v>
      </c>
      <c r="G1173" s="58"/>
      <c r="H1173" s="58" t="s">
        <v>18</v>
      </c>
    </row>
    <row r="1174" spans="2:8" ht="15" customHeight="1" x14ac:dyDescent="0.3">
      <c r="B1174" s="86">
        <v>45707</v>
      </c>
      <c r="C1174" s="9" t="s">
        <v>28</v>
      </c>
      <c r="D1174" s="9" t="s">
        <v>8</v>
      </c>
      <c r="E1174" s="57" t="s">
        <v>29</v>
      </c>
      <c r="F1174" s="58">
        <v>1</v>
      </c>
      <c r="G1174" s="58"/>
      <c r="H1174" s="58" t="s">
        <v>18</v>
      </c>
    </row>
    <row r="1175" spans="2:8" ht="15" customHeight="1" x14ac:dyDescent="0.3">
      <c r="B1175" s="86">
        <v>45707</v>
      </c>
      <c r="C1175" s="9" t="s">
        <v>30</v>
      </c>
      <c r="D1175" s="9" t="s">
        <v>8</v>
      </c>
      <c r="E1175" s="57" t="s">
        <v>31</v>
      </c>
      <c r="F1175" s="58">
        <v>1</v>
      </c>
      <c r="G1175" s="58"/>
      <c r="H1175" s="58" t="s">
        <v>18</v>
      </c>
    </row>
    <row r="1176" spans="2:8" ht="15" customHeight="1" x14ac:dyDescent="0.3">
      <c r="B1176" s="86">
        <v>45707</v>
      </c>
      <c r="C1176" s="9" t="s">
        <v>45</v>
      </c>
      <c r="D1176" s="9" t="s">
        <v>12</v>
      </c>
      <c r="E1176" s="57" t="s">
        <v>59</v>
      </c>
      <c r="F1176" s="58"/>
      <c r="G1176" s="58">
        <v>16</v>
      </c>
      <c r="H1176" s="58" t="s">
        <v>10</v>
      </c>
    </row>
    <row r="1177" spans="2:8" ht="15" customHeight="1" x14ac:dyDescent="0.3">
      <c r="B1177" s="86">
        <v>45707</v>
      </c>
      <c r="C1177" s="9" t="s">
        <v>55</v>
      </c>
      <c r="D1177" s="9" t="s">
        <v>12</v>
      </c>
      <c r="E1177" s="57" t="s">
        <v>56</v>
      </c>
      <c r="F1177" s="58"/>
      <c r="G1177" s="58">
        <v>10</v>
      </c>
      <c r="H1177" s="58" t="s">
        <v>10</v>
      </c>
    </row>
    <row r="1178" spans="2:8" ht="15" customHeight="1" x14ac:dyDescent="0.3">
      <c r="B1178" s="86">
        <v>45708</v>
      </c>
      <c r="C1178" s="9" t="s">
        <v>30</v>
      </c>
      <c r="D1178" s="9" t="s">
        <v>8</v>
      </c>
      <c r="E1178" s="57" t="s">
        <v>31</v>
      </c>
      <c r="F1178" s="58"/>
      <c r="G1178" s="58">
        <v>1</v>
      </c>
      <c r="H1178" s="58" t="s">
        <v>10</v>
      </c>
    </row>
    <row r="1179" spans="2:8" ht="15" customHeight="1" x14ac:dyDescent="0.3">
      <c r="B1179" s="86">
        <v>45708</v>
      </c>
      <c r="C1179" s="9" t="s">
        <v>7</v>
      </c>
      <c r="D1179" s="9" t="s">
        <v>8</v>
      </c>
      <c r="E1179" s="57" t="s">
        <v>9</v>
      </c>
      <c r="F1179" s="58"/>
      <c r="G1179" s="58">
        <v>1</v>
      </c>
      <c r="H1179" s="58" t="s">
        <v>10</v>
      </c>
    </row>
    <row r="1180" spans="2:8" ht="15" customHeight="1" x14ac:dyDescent="0.3">
      <c r="B1180" s="86">
        <v>45708</v>
      </c>
      <c r="C1180" s="9" t="s">
        <v>41</v>
      </c>
      <c r="D1180" s="9" t="s">
        <v>20</v>
      </c>
      <c r="E1180" s="57" t="s">
        <v>42</v>
      </c>
      <c r="F1180" s="58"/>
      <c r="G1180" s="58">
        <v>2.5</v>
      </c>
      <c r="H1180" s="58" t="s">
        <v>10</v>
      </c>
    </row>
    <row r="1181" spans="2:8" ht="15" customHeight="1" x14ac:dyDescent="0.3">
      <c r="B1181" s="86">
        <v>45709</v>
      </c>
      <c r="C1181" s="9" t="s">
        <v>45</v>
      </c>
      <c r="D1181" s="9" t="s">
        <v>12</v>
      </c>
      <c r="E1181" s="57" t="s">
        <v>59</v>
      </c>
      <c r="F1181" s="58"/>
      <c r="G1181" s="58">
        <v>32</v>
      </c>
      <c r="H1181" s="58" t="s">
        <v>10</v>
      </c>
    </row>
    <row r="1182" spans="2:8" ht="15" customHeight="1" x14ac:dyDescent="0.3">
      <c r="B1182" s="86">
        <v>45709</v>
      </c>
      <c r="C1182" s="9" t="s">
        <v>127</v>
      </c>
      <c r="D1182" s="9" t="s">
        <v>12</v>
      </c>
      <c r="E1182" s="57" t="s">
        <v>99</v>
      </c>
      <c r="F1182" s="58"/>
      <c r="G1182" s="58">
        <v>5</v>
      </c>
      <c r="H1182" s="58" t="s">
        <v>10</v>
      </c>
    </row>
    <row r="1183" spans="2:8" ht="15" customHeight="1" x14ac:dyDescent="0.3">
      <c r="B1183" s="86">
        <v>45709</v>
      </c>
      <c r="C1183" s="9" t="s">
        <v>11</v>
      </c>
      <c r="D1183" s="9" t="s">
        <v>12</v>
      </c>
      <c r="E1183" s="18" t="s">
        <v>13</v>
      </c>
      <c r="F1183" s="58"/>
      <c r="G1183" s="58">
        <v>7</v>
      </c>
      <c r="H1183" s="58" t="s">
        <v>10</v>
      </c>
    </row>
    <row r="1184" spans="2:8" ht="15" customHeight="1" x14ac:dyDescent="0.3">
      <c r="B1184" s="86">
        <v>45709</v>
      </c>
      <c r="C1184" s="9" t="s">
        <v>55</v>
      </c>
      <c r="D1184" s="9" t="s">
        <v>12</v>
      </c>
      <c r="E1184" s="57" t="s">
        <v>56</v>
      </c>
      <c r="F1184" s="58"/>
      <c r="G1184" s="58">
        <v>5</v>
      </c>
      <c r="H1184" s="58" t="s">
        <v>10</v>
      </c>
    </row>
    <row r="1185" spans="2:8" ht="15" customHeight="1" x14ac:dyDescent="0.3">
      <c r="B1185" s="86">
        <v>45709</v>
      </c>
      <c r="C1185" s="42" t="s">
        <v>106</v>
      </c>
      <c r="D1185" s="9" t="s">
        <v>12</v>
      </c>
      <c r="E1185" s="57" t="s">
        <v>107</v>
      </c>
      <c r="F1185" s="58"/>
      <c r="G1185" s="58">
        <v>1</v>
      </c>
      <c r="H1185" s="58" t="s">
        <v>10</v>
      </c>
    </row>
    <row r="1186" spans="2:8" ht="15" customHeight="1" x14ac:dyDescent="0.3">
      <c r="B1186" s="86">
        <v>45709</v>
      </c>
      <c r="C1186" s="9" t="s">
        <v>43</v>
      </c>
      <c r="D1186" s="9" t="s">
        <v>20</v>
      </c>
      <c r="E1186" s="57" t="s">
        <v>44</v>
      </c>
      <c r="F1186" s="58">
        <v>12.54</v>
      </c>
      <c r="G1186" s="58"/>
      <c r="H1186" s="58" t="s">
        <v>18</v>
      </c>
    </row>
    <row r="1187" spans="2:8" ht="15" customHeight="1" x14ac:dyDescent="0.3">
      <c r="B1187" s="86">
        <v>45709</v>
      </c>
      <c r="C1187" s="9" t="s">
        <v>70</v>
      </c>
      <c r="D1187" s="9" t="s">
        <v>71</v>
      </c>
      <c r="E1187" s="57" t="s">
        <v>72</v>
      </c>
      <c r="F1187" s="58">
        <v>1</v>
      </c>
      <c r="G1187" s="58"/>
      <c r="H1187" s="58" t="s">
        <v>18</v>
      </c>
    </row>
    <row r="1188" spans="2:8" ht="15" customHeight="1" x14ac:dyDescent="0.3">
      <c r="B1188" s="86">
        <v>45709</v>
      </c>
      <c r="C1188" s="90" t="s">
        <v>73</v>
      </c>
      <c r="D1188" s="91" t="s">
        <v>71</v>
      </c>
      <c r="E1188" s="92" t="s">
        <v>74</v>
      </c>
      <c r="F1188" s="58">
        <v>2</v>
      </c>
      <c r="G1188" s="58"/>
      <c r="H1188" s="58" t="s">
        <v>18</v>
      </c>
    </row>
    <row r="1189" spans="2:8" ht="15" customHeight="1" x14ac:dyDescent="0.3">
      <c r="B1189" s="86">
        <v>45709</v>
      </c>
      <c r="C1189" s="9" t="s">
        <v>45</v>
      </c>
      <c r="D1189" s="9" t="s">
        <v>12</v>
      </c>
      <c r="E1189" s="57" t="s">
        <v>59</v>
      </c>
      <c r="F1189" s="58">
        <f>16*5*4</f>
        <v>320</v>
      </c>
      <c r="G1189" s="58"/>
      <c r="H1189" s="58" t="s">
        <v>18</v>
      </c>
    </row>
    <row r="1190" spans="2:8" ht="15" customHeight="1" x14ac:dyDescent="0.3">
      <c r="B1190" s="86">
        <v>45709</v>
      </c>
      <c r="C1190" s="9" t="s">
        <v>7</v>
      </c>
      <c r="D1190" s="9" t="s">
        <v>8</v>
      </c>
      <c r="E1190" s="57" t="s">
        <v>9</v>
      </c>
      <c r="F1190" s="58">
        <v>1</v>
      </c>
      <c r="G1190" s="58"/>
      <c r="H1190" s="58" t="s">
        <v>18</v>
      </c>
    </row>
    <row r="1191" spans="2:8" ht="15" customHeight="1" x14ac:dyDescent="0.3">
      <c r="B1191" s="86">
        <v>45709</v>
      </c>
      <c r="C1191" s="26" t="s">
        <v>101</v>
      </c>
      <c r="D1191" s="18" t="s">
        <v>8</v>
      </c>
      <c r="E1191" s="18" t="s">
        <v>102</v>
      </c>
      <c r="F1191" s="58">
        <v>1</v>
      </c>
      <c r="G1191" s="58"/>
      <c r="H1191" s="58" t="s">
        <v>18</v>
      </c>
    </row>
    <row r="1192" spans="2:8" ht="15" customHeight="1" x14ac:dyDescent="0.3">
      <c r="B1192" s="86">
        <v>45709</v>
      </c>
      <c r="C1192" s="9" t="s">
        <v>7</v>
      </c>
      <c r="D1192" s="9" t="s">
        <v>8</v>
      </c>
      <c r="E1192" s="57" t="s">
        <v>9</v>
      </c>
      <c r="F1192" s="58"/>
      <c r="G1192" s="58">
        <v>1</v>
      </c>
      <c r="H1192" s="58" t="s">
        <v>10</v>
      </c>
    </row>
    <row r="1193" spans="2:8" ht="15" customHeight="1" x14ac:dyDescent="0.3">
      <c r="B1193" s="86">
        <v>45709</v>
      </c>
      <c r="C1193" s="9" t="s">
        <v>28</v>
      </c>
      <c r="D1193" s="9" t="s">
        <v>8</v>
      </c>
      <c r="E1193" s="57" t="s">
        <v>29</v>
      </c>
      <c r="F1193" s="58"/>
      <c r="G1193" s="58">
        <v>1</v>
      </c>
      <c r="H1193" s="58" t="s">
        <v>10</v>
      </c>
    </row>
    <row r="1194" spans="2:8" ht="15" customHeight="1" x14ac:dyDescent="0.3">
      <c r="B1194" s="86">
        <v>45710</v>
      </c>
      <c r="C1194" s="9" t="s">
        <v>127</v>
      </c>
      <c r="D1194" s="9" t="s">
        <v>12</v>
      </c>
      <c r="E1194" s="57" t="s">
        <v>99</v>
      </c>
      <c r="F1194" s="58"/>
      <c r="G1194" s="58">
        <v>6</v>
      </c>
      <c r="H1194" s="58" t="s">
        <v>10</v>
      </c>
    </row>
    <row r="1195" spans="2:8" ht="15" customHeight="1" x14ac:dyDescent="0.3">
      <c r="B1195" s="86">
        <v>45710</v>
      </c>
      <c r="C1195" s="8" t="s">
        <v>93</v>
      </c>
      <c r="D1195" s="9" t="s">
        <v>12</v>
      </c>
      <c r="E1195" s="57" t="s">
        <v>94</v>
      </c>
      <c r="F1195" s="58"/>
      <c r="G1195" s="58">
        <v>3</v>
      </c>
      <c r="H1195" s="58" t="s">
        <v>10</v>
      </c>
    </row>
    <row r="1196" spans="2:8" ht="15" customHeight="1" x14ac:dyDescent="0.3">
      <c r="B1196" s="86">
        <v>45710</v>
      </c>
      <c r="C1196" s="9" t="s">
        <v>41</v>
      </c>
      <c r="D1196" s="9" t="s">
        <v>20</v>
      </c>
      <c r="E1196" s="57" t="s">
        <v>42</v>
      </c>
      <c r="F1196" s="58">
        <v>7.5</v>
      </c>
      <c r="G1196" s="58"/>
      <c r="H1196" s="58" t="s">
        <v>18</v>
      </c>
    </row>
    <row r="1197" spans="2:8" ht="15" customHeight="1" x14ac:dyDescent="0.3">
      <c r="B1197" s="86">
        <v>45710</v>
      </c>
      <c r="C1197" s="9" t="s">
        <v>39</v>
      </c>
      <c r="D1197" s="9" t="s">
        <v>20</v>
      </c>
      <c r="E1197" s="57" t="s">
        <v>40</v>
      </c>
      <c r="F1197" s="58">
        <v>7.5</v>
      </c>
      <c r="G1197" s="58"/>
      <c r="H1197" s="58" t="s">
        <v>18</v>
      </c>
    </row>
    <row r="1198" spans="2:8" ht="15" customHeight="1" x14ac:dyDescent="0.3">
      <c r="B1198" s="86">
        <v>45710</v>
      </c>
      <c r="C1198" s="9" t="s">
        <v>7</v>
      </c>
      <c r="D1198" s="9" t="s">
        <v>8</v>
      </c>
      <c r="E1198" s="57" t="s">
        <v>9</v>
      </c>
      <c r="F1198" s="58">
        <v>3</v>
      </c>
      <c r="G1198" s="58"/>
      <c r="H1198" s="58" t="s">
        <v>18</v>
      </c>
    </row>
    <row r="1199" spans="2:8" ht="15" customHeight="1" x14ac:dyDescent="0.3">
      <c r="B1199" s="86">
        <v>45710</v>
      </c>
      <c r="C1199" s="9" t="s">
        <v>30</v>
      </c>
      <c r="D1199" s="9" t="s">
        <v>8</v>
      </c>
      <c r="E1199" s="57" t="s">
        <v>31</v>
      </c>
      <c r="F1199" s="58">
        <v>1</v>
      </c>
      <c r="G1199" s="58"/>
      <c r="H1199" s="58" t="s">
        <v>18</v>
      </c>
    </row>
    <row r="1200" spans="2:8" ht="15" customHeight="1" x14ac:dyDescent="0.3">
      <c r="B1200" s="86">
        <v>45710</v>
      </c>
      <c r="C1200" s="9" t="s">
        <v>28</v>
      </c>
      <c r="D1200" s="9" t="s">
        <v>8</v>
      </c>
      <c r="E1200" s="57" t="s">
        <v>29</v>
      </c>
      <c r="F1200" s="58">
        <v>2</v>
      </c>
      <c r="G1200" s="58"/>
      <c r="H1200" s="58" t="s">
        <v>18</v>
      </c>
    </row>
    <row r="1201" spans="2:8" ht="15" customHeight="1" x14ac:dyDescent="0.3">
      <c r="B1201" s="86">
        <v>45710</v>
      </c>
      <c r="C1201" s="9" t="s">
        <v>11</v>
      </c>
      <c r="D1201" s="9" t="s">
        <v>12</v>
      </c>
      <c r="E1201" s="18" t="s">
        <v>13</v>
      </c>
      <c r="F1201" s="58">
        <v>20</v>
      </c>
      <c r="G1201" s="58"/>
      <c r="H1201" s="58" t="s">
        <v>18</v>
      </c>
    </row>
    <row r="1202" spans="2:8" ht="15" customHeight="1" x14ac:dyDescent="0.3">
      <c r="B1202" s="86">
        <v>45710</v>
      </c>
      <c r="C1202" s="9" t="s">
        <v>14</v>
      </c>
      <c r="D1202" s="9" t="s">
        <v>12</v>
      </c>
      <c r="E1202" s="18" t="s">
        <v>15</v>
      </c>
      <c r="F1202" s="58">
        <v>15</v>
      </c>
      <c r="G1202" s="58"/>
      <c r="H1202" s="58" t="s">
        <v>18</v>
      </c>
    </row>
    <row r="1203" spans="2:8" ht="15" customHeight="1" x14ac:dyDescent="0.3">
      <c r="B1203" s="86">
        <v>45710</v>
      </c>
      <c r="C1203" s="9" t="s">
        <v>7</v>
      </c>
      <c r="D1203" s="9" t="s">
        <v>8</v>
      </c>
      <c r="E1203" s="57" t="s">
        <v>9</v>
      </c>
      <c r="F1203" s="58"/>
      <c r="G1203" s="58">
        <v>1</v>
      </c>
      <c r="H1203" s="58" t="s">
        <v>10</v>
      </c>
    </row>
    <row r="1204" spans="2:8" ht="15" customHeight="1" x14ac:dyDescent="0.3">
      <c r="B1204" s="86">
        <v>45710</v>
      </c>
      <c r="C1204" s="9" t="s">
        <v>28</v>
      </c>
      <c r="D1204" s="9" t="s">
        <v>8</v>
      </c>
      <c r="E1204" s="57" t="s">
        <v>29</v>
      </c>
      <c r="F1204" s="58"/>
      <c r="G1204" s="58">
        <v>1</v>
      </c>
      <c r="H1204" s="58" t="s">
        <v>10</v>
      </c>
    </row>
    <row r="1205" spans="2:8" ht="15" customHeight="1" x14ac:dyDescent="0.3">
      <c r="B1205" s="86">
        <v>45710</v>
      </c>
      <c r="C1205" s="9" t="s">
        <v>75</v>
      </c>
      <c r="D1205" s="9" t="s">
        <v>8</v>
      </c>
      <c r="E1205" s="57" t="s">
        <v>76</v>
      </c>
      <c r="F1205" s="58"/>
      <c r="G1205" s="58">
        <v>1</v>
      </c>
      <c r="H1205" s="58" t="s">
        <v>10</v>
      </c>
    </row>
    <row r="1206" spans="2:8" ht="15" customHeight="1" x14ac:dyDescent="0.3">
      <c r="B1206" s="86">
        <v>45711</v>
      </c>
      <c r="C1206" s="42" t="s">
        <v>106</v>
      </c>
      <c r="D1206" s="9" t="s">
        <v>12</v>
      </c>
      <c r="E1206" s="57" t="s">
        <v>107</v>
      </c>
      <c r="F1206" s="58"/>
      <c r="G1206" s="58">
        <v>1</v>
      </c>
      <c r="H1206" s="58" t="s">
        <v>10</v>
      </c>
    </row>
    <row r="1207" spans="2:8" ht="15" customHeight="1" x14ac:dyDescent="0.3">
      <c r="B1207" s="86">
        <v>45711</v>
      </c>
      <c r="C1207" s="9" t="s">
        <v>45</v>
      </c>
      <c r="D1207" s="9" t="s">
        <v>12</v>
      </c>
      <c r="E1207" s="57" t="s">
        <v>59</v>
      </c>
      <c r="F1207" s="58"/>
      <c r="G1207" s="58">
        <v>32</v>
      </c>
      <c r="H1207" s="58" t="s">
        <v>10</v>
      </c>
    </row>
    <row r="1208" spans="2:8" ht="15" customHeight="1" x14ac:dyDescent="0.3">
      <c r="B1208" s="86">
        <v>45711</v>
      </c>
      <c r="C1208" s="9" t="s">
        <v>75</v>
      </c>
      <c r="D1208" s="9" t="s">
        <v>8</v>
      </c>
      <c r="E1208" s="57" t="s">
        <v>76</v>
      </c>
      <c r="F1208" s="58">
        <v>1</v>
      </c>
      <c r="G1208" s="58"/>
      <c r="H1208" s="58" t="s">
        <v>18</v>
      </c>
    </row>
    <row r="1209" spans="2:8" ht="15" customHeight="1" x14ac:dyDescent="0.3">
      <c r="B1209" s="86">
        <v>45711</v>
      </c>
      <c r="C1209" s="9" t="s">
        <v>7</v>
      </c>
      <c r="D1209" s="9" t="s">
        <v>8</v>
      </c>
      <c r="E1209" s="57" t="s">
        <v>9</v>
      </c>
      <c r="F1209" s="58"/>
      <c r="G1209" s="58">
        <v>1</v>
      </c>
      <c r="H1209" s="58" t="s">
        <v>10</v>
      </c>
    </row>
    <row r="1210" spans="2:8" ht="15" customHeight="1" x14ac:dyDescent="0.3">
      <c r="B1210" s="86">
        <v>45711</v>
      </c>
      <c r="C1210" s="9" t="s">
        <v>28</v>
      </c>
      <c r="D1210" s="9" t="s">
        <v>8</v>
      </c>
      <c r="E1210" s="57" t="s">
        <v>29</v>
      </c>
      <c r="F1210" s="58"/>
      <c r="G1210" s="58">
        <v>1</v>
      </c>
      <c r="H1210" s="58" t="s">
        <v>10</v>
      </c>
    </row>
    <row r="1211" spans="2:8" ht="15" customHeight="1" x14ac:dyDescent="0.3">
      <c r="B1211" s="86">
        <v>45711</v>
      </c>
      <c r="C1211" s="9" t="s">
        <v>55</v>
      </c>
      <c r="D1211" s="9" t="s">
        <v>12</v>
      </c>
      <c r="E1211" s="57" t="s">
        <v>56</v>
      </c>
      <c r="F1211" s="58"/>
      <c r="G1211" s="58">
        <v>10</v>
      </c>
      <c r="H1211" s="58" t="s">
        <v>10</v>
      </c>
    </row>
    <row r="1212" spans="2:8" ht="15" customHeight="1" x14ac:dyDescent="0.3">
      <c r="B1212" s="86">
        <v>45712</v>
      </c>
      <c r="C1212" s="20" t="s">
        <v>26</v>
      </c>
      <c r="D1212" s="18" t="s">
        <v>20</v>
      </c>
      <c r="E1212" s="18" t="s">
        <v>27</v>
      </c>
      <c r="F1212" s="58"/>
      <c r="G1212" s="58">
        <v>0.5</v>
      </c>
      <c r="H1212" s="58" t="s">
        <v>10</v>
      </c>
    </row>
    <row r="1213" spans="2:8" ht="15" customHeight="1" x14ac:dyDescent="0.3">
      <c r="B1213" s="86">
        <v>45712</v>
      </c>
      <c r="C1213" s="18" t="s">
        <v>79</v>
      </c>
      <c r="D1213" s="18" t="s">
        <v>20</v>
      </c>
      <c r="E1213" s="18" t="s">
        <v>82</v>
      </c>
      <c r="F1213" s="58"/>
      <c r="G1213" s="58">
        <v>1</v>
      </c>
      <c r="H1213" s="58" t="s">
        <v>10</v>
      </c>
    </row>
    <row r="1214" spans="2:8" ht="15" customHeight="1" x14ac:dyDescent="0.3">
      <c r="B1214" s="86">
        <v>45712</v>
      </c>
      <c r="C1214" s="9" t="s">
        <v>30</v>
      </c>
      <c r="D1214" s="9" t="s">
        <v>8</v>
      </c>
      <c r="E1214" s="57" t="s">
        <v>31</v>
      </c>
      <c r="F1214" s="58"/>
      <c r="G1214" s="58">
        <v>1</v>
      </c>
      <c r="H1214" s="58" t="s">
        <v>10</v>
      </c>
    </row>
    <row r="1215" spans="2:8" ht="15" customHeight="1" x14ac:dyDescent="0.3">
      <c r="B1215" s="86">
        <v>45712</v>
      </c>
      <c r="C1215" s="14" t="s">
        <v>126</v>
      </c>
      <c r="D1215" s="9" t="s">
        <v>12</v>
      </c>
      <c r="E1215" s="57" t="s">
        <v>97</v>
      </c>
      <c r="F1215" s="58">
        <v>44</v>
      </c>
      <c r="G1215" s="58"/>
      <c r="H1215" s="58" t="s">
        <v>18</v>
      </c>
    </row>
    <row r="1216" spans="2:8" ht="15" customHeight="1" x14ac:dyDescent="0.3">
      <c r="B1216" s="86">
        <v>45712</v>
      </c>
      <c r="C1216" s="9" t="s">
        <v>43</v>
      </c>
      <c r="D1216" s="9" t="s">
        <v>20</v>
      </c>
      <c r="E1216" s="57" t="s">
        <v>44</v>
      </c>
      <c r="F1216" s="58"/>
      <c r="G1216" s="58">
        <v>4</v>
      </c>
      <c r="H1216" s="58" t="s">
        <v>10</v>
      </c>
    </row>
    <row r="1217" spans="2:8" ht="15" customHeight="1" x14ac:dyDescent="0.3">
      <c r="B1217" s="86">
        <v>45712</v>
      </c>
      <c r="C1217" s="9" t="s">
        <v>70</v>
      </c>
      <c r="D1217" s="9" t="s">
        <v>71</v>
      </c>
      <c r="E1217" s="57" t="s">
        <v>72</v>
      </c>
      <c r="F1217" s="58"/>
      <c r="G1217" s="58">
        <v>1</v>
      </c>
      <c r="H1217" s="58" t="s">
        <v>10</v>
      </c>
    </row>
    <row r="1218" spans="2:8" ht="15" customHeight="1" x14ac:dyDescent="0.3">
      <c r="B1218" s="86">
        <v>45712</v>
      </c>
      <c r="C1218" s="90" t="s">
        <v>73</v>
      </c>
      <c r="D1218" s="91" t="s">
        <v>71</v>
      </c>
      <c r="E1218" s="92" t="s">
        <v>74</v>
      </c>
      <c r="F1218" s="58"/>
      <c r="G1218" s="58">
        <v>2</v>
      </c>
      <c r="H1218" s="58" t="s">
        <v>10</v>
      </c>
    </row>
    <row r="1219" spans="2:8" ht="15" customHeight="1" x14ac:dyDescent="0.3">
      <c r="B1219" s="86">
        <v>45712</v>
      </c>
      <c r="C1219" s="9" t="s">
        <v>41</v>
      </c>
      <c r="D1219" s="9" t="s">
        <v>20</v>
      </c>
      <c r="E1219" s="57" t="s">
        <v>42</v>
      </c>
      <c r="F1219" s="58"/>
      <c r="G1219" s="58">
        <v>2.4</v>
      </c>
      <c r="H1219" s="58" t="s">
        <v>10</v>
      </c>
    </row>
    <row r="1220" spans="2:8" ht="15" customHeight="1" x14ac:dyDescent="0.3">
      <c r="B1220" s="86">
        <v>45712</v>
      </c>
      <c r="C1220" s="9" t="s">
        <v>39</v>
      </c>
      <c r="D1220" s="9" t="s">
        <v>20</v>
      </c>
      <c r="E1220" s="57" t="s">
        <v>40</v>
      </c>
      <c r="F1220" s="58"/>
      <c r="G1220" s="58">
        <v>11</v>
      </c>
      <c r="H1220" s="58" t="s">
        <v>10</v>
      </c>
    </row>
    <row r="1221" spans="2:8" ht="15" customHeight="1" x14ac:dyDescent="0.3">
      <c r="B1221" s="86">
        <v>45712</v>
      </c>
      <c r="C1221" s="9" t="s">
        <v>51</v>
      </c>
      <c r="D1221" s="9" t="s">
        <v>20</v>
      </c>
      <c r="E1221" s="57" t="s">
        <v>52</v>
      </c>
      <c r="F1221" s="58"/>
      <c r="G1221" s="58">
        <v>2.4</v>
      </c>
      <c r="H1221" s="58" t="s">
        <v>10</v>
      </c>
    </row>
    <row r="1222" spans="2:8" ht="15" customHeight="1" x14ac:dyDescent="0.3">
      <c r="B1222" s="86">
        <v>45712</v>
      </c>
      <c r="C1222" s="14" t="s">
        <v>61</v>
      </c>
      <c r="D1222" s="9" t="s">
        <v>20</v>
      </c>
      <c r="E1222" s="57" t="s">
        <v>62</v>
      </c>
      <c r="F1222" s="58"/>
      <c r="G1222" s="58">
        <v>9</v>
      </c>
      <c r="H1222" s="58" t="s">
        <v>10</v>
      </c>
    </row>
    <row r="1223" spans="2:8" ht="15" customHeight="1" x14ac:dyDescent="0.3">
      <c r="B1223" s="86">
        <v>45712</v>
      </c>
      <c r="C1223" s="18" t="s">
        <v>79</v>
      </c>
      <c r="D1223" s="9" t="s">
        <v>20</v>
      </c>
      <c r="E1223" s="57" t="s">
        <v>82</v>
      </c>
      <c r="F1223" s="58"/>
      <c r="G1223" s="58">
        <v>10</v>
      </c>
      <c r="H1223" s="58" t="s">
        <v>10</v>
      </c>
    </row>
    <row r="1224" spans="2:8" ht="15" customHeight="1" x14ac:dyDescent="0.3">
      <c r="B1224" s="86">
        <v>45712</v>
      </c>
      <c r="C1224" s="37" t="s">
        <v>167</v>
      </c>
      <c r="D1224" s="9" t="s">
        <v>12</v>
      </c>
      <c r="E1224" s="57" t="s">
        <v>168</v>
      </c>
      <c r="F1224" s="58"/>
      <c r="G1224" s="58">
        <v>4</v>
      </c>
      <c r="H1224" s="58" t="s">
        <v>10</v>
      </c>
    </row>
    <row r="1225" spans="2:8" ht="15" customHeight="1" x14ac:dyDescent="0.3">
      <c r="B1225" s="86">
        <v>45712</v>
      </c>
      <c r="C1225" s="9" t="s">
        <v>127</v>
      </c>
      <c r="D1225" s="9" t="s">
        <v>12</v>
      </c>
      <c r="E1225" s="57" t="s">
        <v>99</v>
      </c>
      <c r="F1225" s="58">
        <v>98</v>
      </c>
      <c r="G1225" s="58"/>
      <c r="H1225" s="58" t="s">
        <v>18</v>
      </c>
    </row>
    <row r="1226" spans="2:8" ht="15" customHeight="1" x14ac:dyDescent="0.3">
      <c r="B1226" s="86">
        <v>45713</v>
      </c>
      <c r="C1226" s="9" t="s">
        <v>127</v>
      </c>
      <c r="D1226" s="9" t="s">
        <v>12</v>
      </c>
      <c r="E1226" s="57" t="s">
        <v>99</v>
      </c>
      <c r="F1226" s="58"/>
      <c r="G1226" s="58">
        <v>10</v>
      </c>
      <c r="H1226" s="58" t="s">
        <v>10</v>
      </c>
    </row>
    <row r="1227" spans="2:8" ht="15" customHeight="1" x14ac:dyDescent="0.3">
      <c r="B1227" s="86">
        <v>45713</v>
      </c>
      <c r="C1227" s="9" t="s">
        <v>75</v>
      </c>
      <c r="D1227" s="9" t="s">
        <v>8</v>
      </c>
      <c r="E1227" s="57" t="s">
        <v>76</v>
      </c>
      <c r="F1227" s="58"/>
      <c r="G1227" s="58">
        <v>1</v>
      </c>
      <c r="H1227" s="58" t="s">
        <v>10</v>
      </c>
    </row>
    <row r="1228" spans="2:8" ht="15" customHeight="1" x14ac:dyDescent="0.3">
      <c r="B1228" s="86">
        <v>45713</v>
      </c>
      <c r="C1228" s="9" t="s">
        <v>7</v>
      </c>
      <c r="D1228" s="9" t="s">
        <v>8</v>
      </c>
      <c r="E1228" s="57" t="s">
        <v>9</v>
      </c>
      <c r="F1228" s="58"/>
      <c r="G1228" s="58">
        <v>1</v>
      </c>
      <c r="H1228" s="58" t="s">
        <v>10</v>
      </c>
    </row>
    <row r="1229" spans="2:8" ht="15" customHeight="1" x14ac:dyDescent="0.3">
      <c r="B1229" s="86">
        <v>45713</v>
      </c>
      <c r="C1229" s="9" t="s">
        <v>28</v>
      </c>
      <c r="D1229" s="9" t="s">
        <v>8</v>
      </c>
      <c r="E1229" s="57" t="s">
        <v>29</v>
      </c>
      <c r="F1229" s="58"/>
      <c r="G1229" s="58">
        <v>1</v>
      </c>
      <c r="H1229" s="58" t="s">
        <v>10</v>
      </c>
    </row>
    <row r="1230" spans="2:8" ht="15" customHeight="1" x14ac:dyDescent="0.3">
      <c r="B1230" s="86">
        <v>45713</v>
      </c>
      <c r="C1230" s="26" t="s">
        <v>101</v>
      </c>
      <c r="D1230" s="18" t="s">
        <v>8</v>
      </c>
      <c r="E1230" s="18" t="s">
        <v>102</v>
      </c>
      <c r="F1230" s="58"/>
      <c r="G1230" s="58">
        <v>1</v>
      </c>
      <c r="H1230" s="58" t="s">
        <v>10</v>
      </c>
    </row>
    <row r="1231" spans="2:8" ht="15" customHeight="1" x14ac:dyDescent="0.3">
      <c r="B1231" s="86">
        <v>45714</v>
      </c>
      <c r="C1231" s="9" t="s">
        <v>127</v>
      </c>
      <c r="D1231" s="9" t="s">
        <v>12</v>
      </c>
      <c r="E1231" s="57" t="s">
        <v>99</v>
      </c>
      <c r="F1231" s="58"/>
      <c r="G1231" s="58">
        <v>20</v>
      </c>
      <c r="H1231" s="58" t="s">
        <v>10</v>
      </c>
    </row>
    <row r="1232" spans="2:8" ht="15" customHeight="1" x14ac:dyDescent="0.3">
      <c r="B1232" s="86">
        <v>45714</v>
      </c>
      <c r="C1232" s="9" t="s">
        <v>75</v>
      </c>
      <c r="D1232" s="9" t="s">
        <v>8</v>
      </c>
      <c r="E1232" s="57" t="s">
        <v>76</v>
      </c>
      <c r="F1232" s="58">
        <v>1</v>
      </c>
      <c r="G1232" s="58"/>
      <c r="H1232" s="58" t="s">
        <v>18</v>
      </c>
    </row>
    <row r="1233" spans="2:8" ht="15" customHeight="1" x14ac:dyDescent="0.3">
      <c r="B1233" s="86">
        <v>45714</v>
      </c>
      <c r="C1233" s="9" t="s">
        <v>7</v>
      </c>
      <c r="D1233" s="9" t="s">
        <v>8</v>
      </c>
      <c r="E1233" s="57" t="s">
        <v>9</v>
      </c>
      <c r="F1233" s="58">
        <v>2</v>
      </c>
      <c r="G1233" s="58"/>
      <c r="H1233" s="58" t="s">
        <v>18</v>
      </c>
    </row>
    <row r="1234" spans="2:8" ht="15" customHeight="1" x14ac:dyDescent="0.3">
      <c r="B1234" s="86">
        <v>45714</v>
      </c>
      <c r="C1234" s="9" t="s">
        <v>28</v>
      </c>
      <c r="D1234" s="9" t="s">
        <v>8</v>
      </c>
      <c r="E1234" s="57" t="s">
        <v>29</v>
      </c>
      <c r="F1234" s="58">
        <v>2</v>
      </c>
      <c r="G1234" s="58"/>
      <c r="H1234" s="58" t="s">
        <v>18</v>
      </c>
    </row>
    <row r="1235" spans="2:8" ht="15" customHeight="1" x14ac:dyDescent="0.3">
      <c r="B1235" s="86">
        <v>45714</v>
      </c>
      <c r="C1235" s="26" t="s">
        <v>68</v>
      </c>
      <c r="D1235" s="18" t="s">
        <v>12</v>
      </c>
      <c r="E1235" s="18" t="s">
        <v>69</v>
      </c>
      <c r="F1235" s="58">
        <f>8+8</f>
        <v>16</v>
      </c>
      <c r="G1235" s="58"/>
      <c r="H1235" s="58" t="s">
        <v>18</v>
      </c>
    </row>
    <row r="1236" spans="2:8" ht="15" customHeight="1" x14ac:dyDescent="0.3">
      <c r="B1236" s="86">
        <v>45714</v>
      </c>
      <c r="C1236" s="18" t="s">
        <v>117</v>
      </c>
      <c r="D1236" s="25" t="s">
        <v>33</v>
      </c>
      <c r="E1236" s="18" t="s">
        <v>118</v>
      </c>
      <c r="F1236" s="58">
        <v>1</v>
      </c>
      <c r="G1236" s="58"/>
      <c r="H1236" s="58" t="s">
        <v>18</v>
      </c>
    </row>
    <row r="1237" spans="2:8" ht="15" customHeight="1" x14ac:dyDescent="0.3">
      <c r="B1237" s="86">
        <v>45715</v>
      </c>
      <c r="C1237" s="18" t="s">
        <v>14</v>
      </c>
      <c r="D1237" s="18" t="s">
        <v>12</v>
      </c>
      <c r="E1237" s="18" t="s">
        <v>15</v>
      </c>
      <c r="F1237" s="58"/>
      <c r="G1237" s="58">
        <v>15</v>
      </c>
      <c r="H1237" s="58" t="s">
        <v>10</v>
      </c>
    </row>
    <row r="1238" spans="2:8" ht="15" customHeight="1" x14ac:dyDescent="0.3">
      <c r="B1238" s="86">
        <v>45715</v>
      </c>
      <c r="C1238" s="8" t="s">
        <v>93</v>
      </c>
      <c r="D1238" s="18" t="s">
        <v>12</v>
      </c>
      <c r="E1238" s="18" t="s">
        <v>94</v>
      </c>
      <c r="F1238" s="58"/>
      <c r="G1238" s="58">
        <v>7</v>
      </c>
      <c r="H1238" s="58" t="s">
        <v>10</v>
      </c>
    </row>
    <row r="1239" spans="2:8" ht="15" customHeight="1" x14ac:dyDescent="0.3">
      <c r="B1239" s="86">
        <v>45715</v>
      </c>
      <c r="C1239" s="14" t="s">
        <v>11</v>
      </c>
      <c r="D1239" s="18" t="s">
        <v>12</v>
      </c>
      <c r="E1239" s="18" t="s">
        <v>13</v>
      </c>
      <c r="F1239" s="58"/>
      <c r="G1239" s="58">
        <v>10</v>
      </c>
      <c r="H1239" s="58" t="s">
        <v>10</v>
      </c>
    </row>
    <row r="1240" spans="2:8" ht="15" customHeight="1" x14ac:dyDescent="0.3">
      <c r="B1240" s="86">
        <v>45715</v>
      </c>
      <c r="C1240" s="14" t="s">
        <v>55</v>
      </c>
      <c r="D1240" s="18" t="s">
        <v>12</v>
      </c>
      <c r="E1240" s="18" t="s">
        <v>56</v>
      </c>
      <c r="F1240" s="58"/>
      <c r="G1240" s="58">
        <v>10</v>
      </c>
      <c r="H1240" s="58" t="s">
        <v>10</v>
      </c>
    </row>
    <row r="1241" spans="2:8" ht="15" customHeight="1" x14ac:dyDescent="0.3">
      <c r="B1241" s="86">
        <v>45715</v>
      </c>
      <c r="C1241" s="9" t="s">
        <v>7</v>
      </c>
      <c r="D1241" s="9" t="s">
        <v>8</v>
      </c>
      <c r="E1241" s="57" t="s">
        <v>9</v>
      </c>
      <c r="F1241" s="58"/>
      <c r="G1241" s="58">
        <v>2</v>
      </c>
      <c r="H1241" s="58" t="s">
        <v>10</v>
      </c>
    </row>
    <row r="1242" spans="2:8" ht="15" customHeight="1" x14ac:dyDescent="0.3">
      <c r="B1242" s="86">
        <v>45715</v>
      </c>
      <c r="C1242" s="9" t="s">
        <v>30</v>
      </c>
      <c r="D1242" s="9" t="s">
        <v>8</v>
      </c>
      <c r="E1242" s="57" t="s">
        <v>31</v>
      </c>
      <c r="F1242" s="58"/>
      <c r="G1242" s="58">
        <v>1</v>
      </c>
      <c r="H1242" s="58" t="s">
        <v>10</v>
      </c>
    </row>
    <row r="1243" spans="2:8" ht="15" customHeight="1" x14ac:dyDescent="0.3">
      <c r="B1243" s="86">
        <v>45715</v>
      </c>
      <c r="C1243" s="9" t="s">
        <v>43</v>
      </c>
      <c r="D1243" s="9" t="s">
        <v>20</v>
      </c>
      <c r="E1243" s="57" t="s">
        <v>44</v>
      </c>
      <c r="F1243" s="58"/>
      <c r="G1243" s="58">
        <v>8.8699999999999992</v>
      </c>
      <c r="H1243" s="58" t="s">
        <v>10</v>
      </c>
    </row>
    <row r="1244" spans="2:8" ht="15" customHeight="1" x14ac:dyDescent="0.3">
      <c r="B1244" s="86">
        <v>45715</v>
      </c>
      <c r="C1244" s="9" t="s">
        <v>77</v>
      </c>
      <c r="D1244" s="9" t="s">
        <v>20</v>
      </c>
      <c r="E1244" s="57" t="s">
        <v>78</v>
      </c>
      <c r="F1244" s="58"/>
      <c r="G1244" s="58">
        <v>0.8</v>
      </c>
      <c r="H1244" s="58" t="s">
        <v>10</v>
      </c>
    </row>
    <row r="1245" spans="2:8" ht="15" customHeight="1" x14ac:dyDescent="0.3">
      <c r="B1245" s="86">
        <v>45715</v>
      </c>
      <c r="C1245" s="9" t="s">
        <v>41</v>
      </c>
      <c r="D1245" s="9" t="s">
        <v>20</v>
      </c>
      <c r="E1245" s="57" t="s">
        <v>42</v>
      </c>
      <c r="F1245" s="58"/>
      <c r="G1245" s="58">
        <v>10</v>
      </c>
      <c r="H1245" s="58" t="s">
        <v>10</v>
      </c>
    </row>
    <row r="1246" spans="2:8" ht="15" customHeight="1" x14ac:dyDescent="0.3">
      <c r="B1246" s="86">
        <v>45715</v>
      </c>
      <c r="C1246" s="9" t="s">
        <v>39</v>
      </c>
      <c r="D1246" s="9" t="s">
        <v>20</v>
      </c>
      <c r="E1246" s="57" t="s">
        <v>40</v>
      </c>
      <c r="F1246" s="58"/>
      <c r="G1246" s="58">
        <v>5.56</v>
      </c>
      <c r="H1246" s="58" t="s">
        <v>10</v>
      </c>
    </row>
    <row r="1247" spans="2:8" ht="15" customHeight="1" x14ac:dyDescent="0.3">
      <c r="B1247" s="86">
        <v>45715</v>
      </c>
      <c r="C1247" s="9" t="s">
        <v>127</v>
      </c>
      <c r="D1247" s="9" t="s">
        <v>12</v>
      </c>
      <c r="E1247" s="57" t="s">
        <v>99</v>
      </c>
      <c r="F1247" s="58"/>
      <c r="G1247" s="58">
        <v>68</v>
      </c>
      <c r="H1247" s="58" t="s">
        <v>10</v>
      </c>
    </row>
    <row r="1248" spans="2:8" ht="15" customHeight="1" x14ac:dyDescent="0.3">
      <c r="B1248" s="86">
        <v>45715</v>
      </c>
      <c r="C1248" s="9" t="s">
        <v>45</v>
      </c>
      <c r="D1248" s="9" t="s">
        <v>12</v>
      </c>
      <c r="E1248" s="57" t="s">
        <v>59</v>
      </c>
      <c r="F1248" s="58"/>
      <c r="G1248" s="58">
        <v>32</v>
      </c>
      <c r="H1248" s="58" t="s">
        <v>10</v>
      </c>
    </row>
    <row r="1249" spans="2:8" ht="15" customHeight="1" x14ac:dyDescent="0.3">
      <c r="B1249" s="86">
        <v>45715</v>
      </c>
      <c r="C1249" s="14" t="s">
        <v>126</v>
      </c>
      <c r="D1249" s="18" t="s">
        <v>12</v>
      </c>
      <c r="E1249" s="18" t="s">
        <v>97</v>
      </c>
      <c r="F1249" s="58"/>
      <c r="G1249" s="58">
        <f>44-19</f>
        <v>25</v>
      </c>
      <c r="H1249" s="58" t="s">
        <v>10</v>
      </c>
    </row>
    <row r="1250" spans="2:8" ht="15" customHeight="1" x14ac:dyDescent="0.3">
      <c r="B1250" s="86">
        <v>45715</v>
      </c>
      <c r="C1250" s="18" t="s">
        <v>79</v>
      </c>
      <c r="D1250" s="18" t="s">
        <v>20</v>
      </c>
      <c r="E1250" s="18" t="s">
        <v>82</v>
      </c>
      <c r="F1250" s="58"/>
      <c r="G1250" s="58">
        <v>3</v>
      </c>
      <c r="H1250" s="58" t="s">
        <v>10</v>
      </c>
    </row>
    <row r="1251" spans="2:8" ht="15" customHeight="1" x14ac:dyDescent="0.3">
      <c r="B1251" s="86">
        <v>45715</v>
      </c>
      <c r="C1251" s="20" t="s">
        <v>26</v>
      </c>
      <c r="D1251" s="18" t="s">
        <v>20</v>
      </c>
      <c r="E1251" s="18" t="s">
        <v>27</v>
      </c>
      <c r="F1251" s="58"/>
      <c r="G1251" s="58">
        <v>1</v>
      </c>
      <c r="H1251" s="58" t="s">
        <v>10</v>
      </c>
    </row>
    <row r="1252" spans="2:8" ht="15" customHeight="1" x14ac:dyDescent="0.3">
      <c r="B1252" s="86">
        <v>45715</v>
      </c>
      <c r="C1252" s="42" t="s">
        <v>106</v>
      </c>
      <c r="D1252" s="18" t="s">
        <v>12</v>
      </c>
      <c r="E1252" s="18" t="s">
        <v>107</v>
      </c>
      <c r="F1252" s="58"/>
      <c r="G1252" s="58">
        <v>1</v>
      </c>
      <c r="H1252" s="58" t="s">
        <v>10</v>
      </c>
    </row>
    <row r="1253" spans="2:8" ht="15" customHeight="1" x14ac:dyDescent="0.3">
      <c r="B1253" s="86">
        <v>45715</v>
      </c>
      <c r="C1253" s="9" t="s">
        <v>127</v>
      </c>
      <c r="D1253" s="9" t="s">
        <v>12</v>
      </c>
      <c r="E1253" s="57" t="s">
        <v>99</v>
      </c>
      <c r="F1253" s="58">
        <v>24</v>
      </c>
      <c r="G1253" s="58"/>
      <c r="H1253" s="58" t="s">
        <v>18</v>
      </c>
    </row>
    <row r="1254" spans="2:8" ht="15" customHeight="1" x14ac:dyDescent="0.3">
      <c r="B1254" s="86">
        <v>45715</v>
      </c>
      <c r="C1254" s="9" t="s">
        <v>127</v>
      </c>
      <c r="D1254" s="9" t="s">
        <v>12</v>
      </c>
      <c r="E1254" s="57" t="s">
        <v>99</v>
      </c>
      <c r="F1254" s="58"/>
      <c r="G1254" s="58">
        <v>5</v>
      </c>
      <c r="H1254" s="58" t="s">
        <v>10</v>
      </c>
    </row>
    <row r="1255" spans="2:8" ht="15" customHeight="1" x14ac:dyDescent="0.3">
      <c r="B1255" s="86">
        <v>45715</v>
      </c>
      <c r="C1255" s="9" t="s">
        <v>45</v>
      </c>
      <c r="D1255" s="9" t="s">
        <v>12</v>
      </c>
      <c r="E1255" s="57" t="s">
        <v>59</v>
      </c>
      <c r="F1255" s="58">
        <v>530</v>
      </c>
      <c r="G1255" s="58"/>
      <c r="H1255" s="58" t="s">
        <v>18</v>
      </c>
    </row>
    <row r="1256" spans="2:8" ht="15" customHeight="1" x14ac:dyDescent="0.3">
      <c r="B1256" s="86">
        <v>45715</v>
      </c>
      <c r="C1256" s="14" t="s">
        <v>11</v>
      </c>
      <c r="D1256" s="18" t="s">
        <v>12</v>
      </c>
      <c r="E1256" s="18" t="s">
        <v>13</v>
      </c>
      <c r="F1256" s="58">
        <v>34</v>
      </c>
      <c r="G1256" s="58"/>
      <c r="H1256" s="58" t="s">
        <v>18</v>
      </c>
    </row>
    <row r="1257" spans="2:8" ht="15" customHeight="1" x14ac:dyDescent="0.3">
      <c r="B1257" s="86">
        <v>45716</v>
      </c>
      <c r="C1257" s="9" t="s">
        <v>51</v>
      </c>
      <c r="D1257" s="9" t="s">
        <v>20</v>
      </c>
      <c r="E1257" s="18" t="s">
        <v>52</v>
      </c>
      <c r="F1257" s="58">
        <v>3</v>
      </c>
      <c r="G1257" s="58"/>
      <c r="H1257" s="58" t="s">
        <v>18</v>
      </c>
    </row>
    <row r="1258" spans="2:8" ht="15" customHeight="1" x14ac:dyDescent="0.3">
      <c r="B1258" s="86">
        <v>45723</v>
      </c>
      <c r="C1258" s="14" t="s">
        <v>126</v>
      </c>
      <c r="D1258" s="18" t="s">
        <v>12</v>
      </c>
      <c r="E1258" s="18" t="s">
        <v>97</v>
      </c>
      <c r="F1258" s="58">
        <v>60</v>
      </c>
      <c r="G1258" s="58"/>
      <c r="H1258" s="58" t="s">
        <v>18</v>
      </c>
    </row>
    <row r="1259" spans="2:8" ht="15" customHeight="1" x14ac:dyDescent="0.3">
      <c r="B1259" s="86">
        <v>45723</v>
      </c>
      <c r="C1259" s="9" t="s">
        <v>133</v>
      </c>
      <c r="D1259" s="9" t="s">
        <v>12</v>
      </c>
      <c r="E1259" s="57"/>
      <c r="F1259" s="58">
        <v>10</v>
      </c>
      <c r="G1259" s="58"/>
      <c r="H1259" s="58" t="s">
        <v>18</v>
      </c>
    </row>
    <row r="1260" spans="2:8" ht="15" customHeight="1" x14ac:dyDescent="0.3">
      <c r="B1260" s="86">
        <v>45723</v>
      </c>
      <c r="C1260" s="9" t="s">
        <v>7</v>
      </c>
      <c r="D1260" s="9" t="s">
        <v>8</v>
      </c>
      <c r="E1260" s="57" t="s">
        <v>9</v>
      </c>
      <c r="F1260" s="58">
        <v>2</v>
      </c>
      <c r="G1260" s="58"/>
      <c r="H1260" s="58" t="s">
        <v>18</v>
      </c>
    </row>
    <row r="1261" spans="2:8" ht="15" customHeight="1" x14ac:dyDescent="0.3">
      <c r="B1261" s="86">
        <v>45723</v>
      </c>
      <c r="C1261" s="9" t="s">
        <v>30</v>
      </c>
      <c r="D1261" s="9" t="s">
        <v>8</v>
      </c>
      <c r="E1261" s="57" t="s">
        <v>31</v>
      </c>
      <c r="F1261" s="58">
        <v>1</v>
      </c>
      <c r="G1261" s="58"/>
      <c r="H1261" s="58" t="s">
        <v>18</v>
      </c>
    </row>
    <row r="1262" spans="2:8" ht="15" customHeight="1" x14ac:dyDescent="0.3">
      <c r="B1262" s="86">
        <v>45723</v>
      </c>
      <c r="C1262" s="9" t="s">
        <v>75</v>
      </c>
      <c r="D1262" s="9" t="s">
        <v>8</v>
      </c>
      <c r="E1262" s="57" t="s">
        <v>76</v>
      </c>
      <c r="F1262" s="58">
        <v>1</v>
      </c>
      <c r="G1262" s="58"/>
      <c r="H1262" s="58" t="s">
        <v>18</v>
      </c>
    </row>
    <row r="1263" spans="2:8" ht="15" customHeight="1" x14ac:dyDescent="0.3">
      <c r="B1263" s="86">
        <v>45723</v>
      </c>
      <c r="C1263" s="9" t="s">
        <v>28</v>
      </c>
      <c r="D1263" s="9" t="s">
        <v>8</v>
      </c>
      <c r="E1263" s="57" t="s">
        <v>29</v>
      </c>
      <c r="F1263" s="58">
        <v>2</v>
      </c>
      <c r="G1263" s="58"/>
      <c r="H1263" s="58" t="s">
        <v>18</v>
      </c>
    </row>
    <row r="1264" spans="2:8" ht="15" customHeight="1" x14ac:dyDescent="0.3">
      <c r="B1264" s="86">
        <v>45724</v>
      </c>
      <c r="C1264" s="9" t="s">
        <v>45</v>
      </c>
      <c r="D1264" s="9" t="s">
        <v>12</v>
      </c>
      <c r="E1264" s="57" t="s">
        <v>59</v>
      </c>
      <c r="F1264" s="58"/>
      <c r="G1264" s="58">
        <v>22</v>
      </c>
      <c r="H1264" s="58" t="s">
        <v>10</v>
      </c>
    </row>
    <row r="1265" spans="2:8" ht="15" customHeight="1" x14ac:dyDescent="0.3">
      <c r="B1265" s="86">
        <v>45724</v>
      </c>
      <c r="C1265" s="20" t="s">
        <v>26</v>
      </c>
      <c r="D1265" s="18" t="s">
        <v>20</v>
      </c>
      <c r="E1265" s="18" t="s">
        <v>27</v>
      </c>
      <c r="F1265" s="58"/>
      <c r="G1265" s="58">
        <v>0.5</v>
      </c>
      <c r="H1265" s="58" t="s">
        <v>10</v>
      </c>
    </row>
    <row r="1266" spans="2:8" ht="15" customHeight="1" x14ac:dyDescent="0.3">
      <c r="B1266" s="86">
        <v>45724</v>
      </c>
      <c r="C1266" s="18" t="s">
        <v>63</v>
      </c>
      <c r="D1266" s="18" t="s">
        <v>20</v>
      </c>
      <c r="E1266" s="18" t="s">
        <v>64</v>
      </c>
      <c r="F1266" s="58"/>
      <c r="G1266" s="58">
        <v>0.5</v>
      </c>
      <c r="H1266" s="58" t="s">
        <v>10</v>
      </c>
    </row>
    <row r="1267" spans="2:8" ht="15" customHeight="1" x14ac:dyDescent="0.3">
      <c r="B1267" s="86">
        <v>45724</v>
      </c>
      <c r="C1267" s="9" t="s">
        <v>127</v>
      </c>
      <c r="D1267" s="9" t="s">
        <v>12</v>
      </c>
      <c r="E1267" s="57" t="s">
        <v>99</v>
      </c>
      <c r="F1267" s="58"/>
      <c r="G1267" s="58">
        <v>9</v>
      </c>
      <c r="H1267" s="58" t="s">
        <v>10</v>
      </c>
    </row>
    <row r="1268" spans="2:8" ht="15" customHeight="1" x14ac:dyDescent="0.3">
      <c r="B1268" s="86">
        <v>45724</v>
      </c>
      <c r="C1268" s="9" t="s">
        <v>28</v>
      </c>
      <c r="D1268" s="9" t="s">
        <v>8</v>
      </c>
      <c r="E1268" s="57" t="s">
        <v>29</v>
      </c>
      <c r="F1268" s="58"/>
      <c r="G1268" s="58">
        <v>4</v>
      </c>
      <c r="H1268" s="58" t="s">
        <v>10</v>
      </c>
    </row>
    <row r="1269" spans="2:8" ht="15" customHeight="1" x14ac:dyDescent="0.3">
      <c r="B1269" s="86">
        <v>45724</v>
      </c>
      <c r="C1269" s="9" t="s">
        <v>7</v>
      </c>
      <c r="D1269" s="9" t="s">
        <v>8</v>
      </c>
      <c r="E1269" s="57" t="s">
        <v>9</v>
      </c>
      <c r="F1269" s="58"/>
      <c r="G1269" s="58">
        <v>2</v>
      </c>
      <c r="H1269" s="58" t="s">
        <v>10</v>
      </c>
    </row>
    <row r="1270" spans="2:8" ht="15" customHeight="1" x14ac:dyDescent="0.3">
      <c r="B1270" s="86">
        <v>45724</v>
      </c>
      <c r="C1270" s="9" t="s">
        <v>75</v>
      </c>
      <c r="D1270" s="9" t="s">
        <v>8</v>
      </c>
      <c r="E1270" s="57" t="s">
        <v>76</v>
      </c>
      <c r="F1270" s="58"/>
      <c r="G1270" s="58">
        <v>1</v>
      </c>
      <c r="H1270" s="58" t="s">
        <v>10</v>
      </c>
    </row>
    <row r="1271" spans="2:8" ht="15" customHeight="1" x14ac:dyDescent="0.3">
      <c r="B1271" s="86">
        <v>45724</v>
      </c>
      <c r="C1271" s="9" t="s">
        <v>14</v>
      </c>
      <c r="D1271" s="9" t="s">
        <v>12</v>
      </c>
      <c r="E1271" s="57" t="s">
        <v>15</v>
      </c>
      <c r="F1271" s="58">
        <v>23</v>
      </c>
      <c r="G1271" s="58"/>
      <c r="H1271" s="58" t="s">
        <v>18</v>
      </c>
    </row>
    <row r="1272" spans="2:8" ht="15" customHeight="1" x14ac:dyDescent="0.3">
      <c r="B1272" s="86">
        <v>45724</v>
      </c>
      <c r="C1272" s="9" t="s">
        <v>127</v>
      </c>
      <c r="D1272" s="9" t="s">
        <v>12</v>
      </c>
      <c r="E1272" s="57" t="s">
        <v>99</v>
      </c>
      <c r="F1272" s="58">
        <v>18</v>
      </c>
      <c r="G1272" s="58"/>
      <c r="H1272" s="58" t="s">
        <v>18</v>
      </c>
    </row>
    <row r="1273" spans="2:8" ht="15" customHeight="1" x14ac:dyDescent="0.3">
      <c r="B1273" s="86">
        <v>45724</v>
      </c>
      <c r="C1273" s="20" t="s">
        <v>26</v>
      </c>
      <c r="D1273" s="18" t="s">
        <v>20</v>
      </c>
      <c r="E1273" s="18" t="s">
        <v>27</v>
      </c>
      <c r="F1273" s="58">
        <v>1.39</v>
      </c>
      <c r="G1273" s="58"/>
      <c r="H1273" s="58" t="s">
        <v>18</v>
      </c>
    </row>
    <row r="1274" spans="2:8" ht="15" customHeight="1" x14ac:dyDescent="0.3">
      <c r="B1274" s="86">
        <v>45724</v>
      </c>
      <c r="C1274" s="8" t="s">
        <v>93</v>
      </c>
      <c r="D1274" s="18" t="s">
        <v>12</v>
      </c>
      <c r="E1274" s="18" t="s">
        <v>94</v>
      </c>
      <c r="F1274" s="58"/>
      <c r="G1274" s="58">
        <v>5</v>
      </c>
      <c r="H1274" s="58" t="s">
        <v>10</v>
      </c>
    </row>
    <row r="1275" spans="2:8" ht="15" customHeight="1" x14ac:dyDescent="0.3">
      <c r="B1275" s="86">
        <v>45724</v>
      </c>
      <c r="C1275" s="9" t="s">
        <v>55</v>
      </c>
      <c r="D1275" s="9" t="s">
        <v>12</v>
      </c>
      <c r="E1275" s="57" t="s">
        <v>56</v>
      </c>
      <c r="F1275" s="58"/>
      <c r="G1275" s="58">
        <v>10</v>
      </c>
      <c r="H1275" s="58" t="s">
        <v>10</v>
      </c>
    </row>
    <row r="1276" spans="2:8" ht="15" customHeight="1" x14ac:dyDescent="0.3">
      <c r="B1276" s="86">
        <v>45726</v>
      </c>
      <c r="C1276" s="9" t="s">
        <v>28</v>
      </c>
      <c r="D1276" s="9" t="s">
        <v>8</v>
      </c>
      <c r="E1276" s="57" t="s">
        <v>29</v>
      </c>
      <c r="F1276" s="58">
        <v>2</v>
      </c>
      <c r="G1276" s="58"/>
      <c r="H1276" s="58" t="s">
        <v>18</v>
      </c>
    </row>
    <row r="1277" spans="2:8" ht="15" customHeight="1" x14ac:dyDescent="0.3">
      <c r="B1277" s="86">
        <v>45727</v>
      </c>
      <c r="C1277" s="26" t="s">
        <v>101</v>
      </c>
      <c r="D1277" s="9" t="s">
        <v>8</v>
      </c>
      <c r="E1277" s="57" t="s">
        <v>102</v>
      </c>
      <c r="F1277" s="58"/>
      <c r="G1277" s="58">
        <v>1</v>
      </c>
      <c r="H1277" s="58" t="s">
        <v>10</v>
      </c>
    </row>
    <row r="1278" spans="2:8" ht="15" customHeight="1" x14ac:dyDescent="0.3">
      <c r="B1278" s="86">
        <v>45727</v>
      </c>
      <c r="C1278" s="9" t="s">
        <v>127</v>
      </c>
      <c r="D1278" s="9" t="s">
        <v>12</v>
      </c>
      <c r="E1278" s="57" t="s">
        <v>99</v>
      </c>
      <c r="F1278" s="58"/>
      <c r="G1278" s="58">
        <v>10</v>
      </c>
      <c r="H1278" s="58" t="s">
        <v>10</v>
      </c>
    </row>
    <row r="1279" spans="2:8" ht="15" customHeight="1" x14ac:dyDescent="0.3">
      <c r="B1279" s="86">
        <v>45727</v>
      </c>
      <c r="C1279" s="14" t="s">
        <v>126</v>
      </c>
      <c r="D1279" s="18" t="s">
        <v>12</v>
      </c>
      <c r="E1279" s="18" t="s">
        <v>97</v>
      </c>
      <c r="F1279" s="58"/>
      <c r="G1279" s="58">
        <v>16</v>
      </c>
      <c r="H1279" s="58" t="s">
        <v>10</v>
      </c>
    </row>
    <row r="1280" spans="2:8" ht="15" customHeight="1" x14ac:dyDescent="0.3">
      <c r="B1280" s="86">
        <v>45727</v>
      </c>
      <c r="C1280" s="9" t="s">
        <v>43</v>
      </c>
      <c r="D1280" s="9" t="s">
        <v>20</v>
      </c>
      <c r="E1280" s="57" t="s">
        <v>44</v>
      </c>
      <c r="F1280" s="58"/>
      <c r="G1280" s="58">
        <v>4.3</v>
      </c>
      <c r="H1280" s="58" t="s">
        <v>10</v>
      </c>
    </row>
    <row r="1281" spans="2:8" ht="15" customHeight="1" x14ac:dyDescent="0.3">
      <c r="B1281" s="86">
        <v>45727</v>
      </c>
      <c r="C1281" s="9" t="s">
        <v>77</v>
      </c>
      <c r="D1281" s="9" t="s">
        <v>20</v>
      </c>
      <c r="E1281" s="57" t="s">
        <v>78</v>
      </c>
      <c r="F1281" s="58"/>
      <c r="G1281" s="58">
        <v>0.72</v>
      </c>
      <c r="H1281" s="58" t="s">
        <v>10</v>
      </c>
    </row>
    <row r="1282" spans="2:8" ht="15" customHeight="1" x14ac:dyDescent="0.3">
      <c r="B1282" s="86">
        <v>45727</v>
      </c>
      <c r="C1282" s="18" t="s">
        <v>115</v>
      </c>
      <c r="D1282" s="9" t="s">
        <v>12</v>
      </c>
      <c r="E1282" s="57" t="s">
        <v>116</v>
      </c>
      <c r="F1282" s="58"/>
      <c r="G1282" s="58">
        <v>3</v>
      </c>
      <c r="H1282" s="58" t="s">
        <v>10</v>
      </c>
    </row>
    <row r="1283" spans="2:8" ht="15" customHeight="1" x14ac:dyDescent="0.3">
      <c r="B1283" s="86">
        <v>45727</v>
      </c>
      <c r="C1283" s="9" t="s">
        <v>51</v>
      </c>
      <c r="D1283" s="9" t="s">
        <v>20</v>
      </c>
      <c r="E1283" s="57" t="s">
        <v>52</v>
      </c>
      <c r="F1283" s="58"/>
      <c r="G1283" s="58">
        <v>3</v>
      </c>
      <c r="H1283" s="58" t="s">
        <v>10</v>
      </c>
    </row>
    <row r="1284" spans="2:8" ht="15" customHeight="1" x14ac:dyDescent="0.3">
      <c r="B1284" s="86">
        <v>45727</v>
      </c>
      <c r="C1284" s="26" t="s">
        <v>68</v>
      </c>
      <c r="D1284" s="9" t="s">
        <v>12</v>
      </c>
      <c r="E1284" s="57" t="s">
        <v>69</v>
      </c>
      <c r="F1284" s="58"/>
      <c r="G1284" s="58">
        <v>16</v>
      </c>
      <c r="H1284" s="58" t="s">
        <v>10</v>
      </c>
    </row>
    <row r="1285" spans="2:8" ht="15" customHeight="1" x14ac:dyDescent="0.3">
      <c r="B1285" s="86">
        <v>45727</v>
      </c>
      <c r="C1285" s="14" t="s">
        <v>61</v>
      </c>
      <c r="D1285" s="9" t="s">
        <v>20</v>
      </c>
      <c r="E1285" s="57" t="s">
        <v>62</v>
      </c>
      <c r="F1285" s="58"/>
      <c r="G1285" s="58">
        <v>1</v>
      </c>
      <c r="H1285" s="58" t="s">
        <v>10</v>
      </c>
    </row>
    <row r="1286" spans="2:8" ht="15" customHeight="1" x14ac:dyDescent="0.3">
      <c r="B1286" s="86">
        <v>45727</v>
      </c>
      <c r="C1286" s="9" t="s">
        <v>79</v>
      </c>
      <c r="D1286" s="9" t="s">
        <v>20</v>
      </c>
      <c r="E1286" s="57" t="s">
        <v>82</v>
      </c>
      <c r="F1286" s="58"/>
      <c r="G1286" s="58">
        <v>2</v>
      </c>
      <c r="H1286" s="58" t="s">
        <v>10</v>
      </c>
    </row>
    <row r="1287" spans="2:8" ht="15" customHeight="1" x14ac:dyDescent="0.3">
      <c r="B1287" s="86">
        <v>45727</v>
      </c>
      <c r="C1287" s="26" t="s">
        <v>87</v>
      </c>
      <c r="D1287" s="9" t="s">
        <v>20</v>
      </c>
      <c r="E1287" s="57" t="s">
        <v>88</v>
      </c>
      <c r="F1287" s="58"/>
      <c r="G1287" s="58">
        <v>1</v>
      </c>
      <c r="H1287" s="58" t="s">
        <v>10</v>
      </c>
    </row>
    <row r="1288" spans="2:8" ht="15" customHeight="1" x14ac:dyDescent="0.3">
      <c r="B1288" s="86">
        <v>45727</v>
      </c>
      <c r="C1288" s="42" t="s">
        <v>106</v>
      </c>
      <c r="D1288" s="9" t="s">
        <v>12</v>
      </c>
      <c r="E1288" s="57" t="s">
        <v>107</v>
      </c>
      <c r="F1288" s="58"/>
      <c r="G1288" s="58">
        <v>1</v>
      </c>
      <c r="H1288" s="58" t="s">
        <v>10</v>
      </c>
    </row>
    <row r="1289" spans="2:8" ht="15" customHeight="1" x14ac:dyDescent="0.3">
      <c r="B1289" s="86">
        <v>45727</v>
      </c>
      <c r="C1289" s="37" t="s">
        <v>167</v>
      </c>
      <c r="D1289" s="93" t="s">
        <v>12</v>
      </c>
      <c r="E1289" s="93" t="s">
        <v>168</v>
      </c>
      <c r="F1289" s="58"/>
      <c r="G1289" s="58">
        <v>5</v>
      </c>
      <c r="H1289" s="58" t="s">
        <v>10</v>
      </c>
    </row>
    <row r="1290" spans="2:8" ht="15" customHeight="1" x14ac:dyDescent="0.3">
      <c r="B1290" s="86">
        <v>45727</v>
      </c>
      <c r="C1290" s="9" t="s">
        <v>28</v>
      </c>
      <c r="D1290" s="9" t="s">
        <v>8</v>
      </c>
      <c r="E1290" s="57" t="s">
        <v>29</v>
      </c>
      <c r="F1290" s="58"/>
      <c r="G1290" s="58">
        <v>1</v>
      </c>
      <c r="H1290" s="58" t="s">
        <v>10</v>
      </c>
    </row>
    <row r="1291" spans="2:8" ht="15" customHeight="1" x14ac:dyDescent="0.3">
      <c r="B1291" s="86">
        <v>45728</v>
      </c>
      <c r="C1291" s="14" t="s">
        <v>11</v>
      </c>
      <c r="D1291" s="18" t="s">
        <v>12</v>
      </c>
      <c r="E1291" s="18" t="s">
        <v>13</v>
      </c>
      <c r="F1291" s="58"/>
      <c r="G1291" s="58">
        <v>5</v>
      </c>
      <c r="H1291" s="58" t="s">
        <v>10</v>
      </c>
    </row>
    <row r="1292" spans="2:8" ht="15" customHeight="1" x14ac:dyDescent="0.3">
      <c r="B1292" s="86">
        <v>45728</v>
      </c>
      <c r="C1292" s="8" t="s">
        <v>93</v>
      </c>
      <c r="D1292" s="18" t="s">
        <v>12</v>
      </c>
      <c r="E1292" s="18" t="s">
        <v>94</v>
      </c>
      <c r="F1292" s="58">
        <v>7</v>
      </c>
      <c r="G1292" s="58"/>
      <c r="H1292" s="58" t="s">
        <v>18</v>
      </c>
    </row>
    <row r="1293" spans="2:8" ht="15" customHeight="1" x14ac:dyDescent="0.3">
      <c r="B1293" s="86">
        <v>45729</v>
      </c>
      <c r="C1293" s="9" t="s">
        <v>79</v>
      </c>
      <c r="D1293" s="9" t="s">
        <v>20</v>
      </c>
      <c r="E1293" s="57" t="s">
        <v>82</v>
      </c>
      <c r="F1293" s="58"/>
      <c r="G1293" s="58">
        <v>0.75</v>
      </c>
      <c r="H1293" s="58" t="s">
        <v>10</v>
      </c>
    </row>
    <row r="1294" spans="2:8" ht="15" customHeight="1" x14ac:dyDescent="0.3">
      <c r="B1294" s="86">
        <v>45730</v>
      </c>
      <c r="C1294" s="9" t="s">
        <v>45</v>
      </c>
      <c r="D1294" s="9" t="s">
        <v>12</v>
      </c>
      <c r="E1294" s="57" t="s">
        <v>59</v>
      </c>
      <c r="F1294" s="58"/>
      <c r="G1294" s="58">
        <v>36</v>
      </c>
      <c r="H1294" s="58" t="s">
        <v>10</v>
      </c>
    </row>
    <row r="1295" spans="2:8" ht="15" customHeight="1" x14ac:dyDescent="0.3">
      <c r="B1295" s="86">
        <v>45730</v>
      </c>
      <c r="C1295" s="9" t="s">
        <v>57</v>
      </c>
      <c r="D1295" s="9" t="s">
        <v>12</v>
      </c>
      <c r="E1295" s="18" t="s">
        <v>58</v>
      </c>
      <c r="F1295" s="58"/>
      <c r="G1295" s="58">
        <v>24</v>
      </c>
      <c r="H1295" s="58" t="s">
        <v>10</v>
      </c>
    </row>
    <row r="1296" spans="2:8" ht="15" customHeight="1" x14ac:dyDescent="0.3">
      <c r="B1296" s="86">
        <v>45730</v>
      </c>
      <c r="C1296" s="9" t="s">
        <v>55</v>
      </c>
      <c r="D1296" s="9" t="s">
        <v>12</v>
      </c>
      <c r="E1296" s="101" t="s">
        <v>56</v>
      </c>
      <c r="F1296" s="58"/>
      <c r="G1296" s="58">
        <v>7</v>
      </c>
      <c r="H1296" s="58" t="s">
        <v>10</v>
      </c>
    </row>
    <row r="1297" spans="2:8" ht="15" customHeight="1" x14ac:dyDescent="0.3">
      <c r="B1297" s="86">
        <v>45730</v>
      </c>
      <c r="C1297" s="9" t="s">
        <v>14</v>
      </c>
      <c r="D1297" s="9" t="s">
        <v>12</v>
      </c>
      <c r="E1297" s="57" t="s">
        <v>15</v>
      </c>
      <c r="F1297" s="58"/>
      <c r="G1297" s="58">
        <v>10</v>
      </c>
      <c r="H1297" s="58" t="s">
        <v>10</v>
      </c>
    </row>
    <row r="1298" spans="2:8" ht="15" customHeight="1" x14ac:dyDescent="0.3">
      <c r="B1298" s="86">
        <v>45730</v>
      </c>
      <c r="C1298" s="37" t="s">
        <v>167</v>
      </c>
      <c r="D1298" s="93" t="s">
        <v>12</v>
      </c>
      <c r="E1298" s="93" t="s">
        <v>168</v>
      </c>
      <c r="F1298" s="58"/>
      <c r="G1298" s="58">
        <v>2</v>
      </c>
      <c r="H1298" s="58" t="s">
        <v>10</v>
      </c>
    </row>
    <row r="1299" spans="2:8" ht="15" customHeight="1" x14ac:dyDescent="0.3">
      <c r="B1299" s="86">
        <v>45730</v>
      </c>
      <c r="C1299" s="8" t="s">
        <v>93</v>
      </c>
      <c r="D1299" s="18" t="s">
        <v>12</v>
      </c>
      <c r="E1299" s="18" t="s">
        <v>94</v>
      </c>
      <c r="F1299" s="58"/>
      <c r="G1299" s="58">
        <v>2</v>
      </c>
      <c r="H1299" s="58" t="s">
        <v>10</v>
      </c>
    </row>
    <row r="1300" spans="2:8" ht="15" customHeight="1" x14ac:dyDescent="0.3">
      <c r="B1300" s="86">
        <v>45730</v>
      </c>
      <c r="C1300" s="14" t="s">
        <v>11</v>
      </c>
      <c r="D1300" s="18" t="s">
        <v>12</v>
      </c>
      <c r="E1300" s="18" t="s">
        <v>13</v>
      </c>
      <c r="F1300" s="58"/>
      <c r="G1300" s="58">
        <v>5</v>
      </c>
      <c r="H1300" s="58" t="s">
        <v>10</v>
      </c>
    </row>
    <row r="1301" spans="2:8" ht="15" customHeight="1" x14ac:dyDescent="0.3">
      <c r="B1301" s="86">
        <v>45731</v>
      </c>
      <c r="C1301" s="9" t="s">
        <v>28</v>
      </c>
      <c r="D1301" s="9" t="s">
        <v>8</v>
      </c>
      <c r="E1301" s="57" t="s">
        <v>29</v>
      </c>
      <c r="F1301" s="58"/>
      <c r="G1301" s="58">
        <v>1</v>
      </c>
      <c r="H1301" s="58" t="s">
        <v>10</v>
      </c>
    </row>
    <row r="1302" spans="2:8" ht="15" customHeight="1" x14ac:dyDescent="0.3">
      <c r="B1302" s="86">
        <v>45731</v>
      </c>
      <c r="C1302" s="37" t="s">
        <v>167</v>
      </c>
      <c r="D1302" s="93" t="s">
        <v>12</v>
      </c>
      <c r="E1302" s="93" t="s">
        <v>168</v>
      </c>
      <c r="F1302" s="58">
        <v>24</v>
      </c>
      <c r="G1302" s="58"/>
      <c r="H1302" s="58" t="s">
        <v>18</v>
      </c>
    </row>
    <row r="1303" spans="2:8" ht="15" customHeight="1" x14ac:dyDescent="0.3">
      <c r="B1303" s="86">
        <v>45731</v>
      </c>
      <c r="C1303" s="8" t="s">
        <v>93</v>
      </c>
      <c r="D1303" s="18" t="s">
        <v>12</v>
      </c>
      <c r="E1303" s="18" t="s">
        <v>94</v>
      </c>
      <c r="F1303" s="58">
        <v>26</v>
      </c>
      <c r="G1303" s="58"/>
      <c r="H1303" s="58" t="s">
        <v>18</v>
      </c>
    </row>
    <row r="1304" spans="2:8" ht="15" customHeight="1" x14ac:dyDescent="0.3">
      <c r="B1304" s="86">
        <v>45731</v>
      </c>
      <c r="C1304" s="39" t="s">
        <v>90</v>
      </c>
      <c r="D1304" s="18" t="s">
        <v>20</v>
      </c>
      <c r="E1304" s="18" t="s">
        <v>91</v>
      </c>
      <c r="F1304" s="58">
        <v>2.5</v>
      </c>
      <c r="G1304" s="58"/>
      <c r="H1304" s="58" t="s">
        <v>18</v>
      </c>
    </row>
    <row r="1305" spans="2:8" ht="15" customHeight="1" x14ac:dyDescent="0.3">
      <c r="B1305" s="86">
        <v>45731</v>
      </c>
      <c r="C1305" s="9" t="s">
        <v>79</v>
      </c>
      <c r="D1305" s="9" t="s">
        <v>20</v>
      </c>
      <c r="E1305" s="57" t="s">
        <v>82</v>
      </c>
      <c r="F1305" s="58"/>
      <c r="G1305" s="58">
        <v>0.63</v>
      </c>
      <c r="H1305" s="58" t="s">
        <v>10</v>
      </c>
    </row>
    <row r="1306" spans="2:8" ht="15" customHeight="1" x14ac:dyDescent="0.3">
      <c r="B1306" s="86">
        <v>45731</v>
      </c>
      <c r="C1306" s="20" t="s">
        <v>26</v>
      </c>
      <c r="D1306" s="9" t="s">
        <v>20</v>
      </c>
      <c r="E1306" s="18" t="s">
        <v>27</v>
      </c>
      <c r="F1306" s="58"/>
      <c r="G1306" s="58">
        <v>0.8</v>
      </c>
      <c r="H1306" s="58" t="s">
        <v>10</v>
      </c>
    </row>
    <row r="1307" spans="2:8" ht="15" customHeight="1" x14ac:dyDescent="0.3">
      <c r="B1307" s="86">
        <v>45732</v>
      </c>
      <c r="C1307" s="9" t="s">
        <v>45</v>
      </c>
      <c r="D1307" s="9" t="s">
        <v>12</v>
      </c>
      <c r="E1307" s="57" t="s">
        <v>59</v>
      </c>
      <c r="F1307" s="58"/>
      <c r="G1307" s="58">
        <f>5*16</f>
        <v>80</v>
      </c>
      <c r="H1307" s="58" t="s">
        <v>10</v>
      </c>
    </row>
    <row r="1308" spans="2:8" ht="15" customHeight="1" x14ac:dyDescent="0.3">
      <c r="B1308" s="86">
        <v>45732</v>
      </c>
      <c r="C1308" s="9" t="s">
        <v>28</v>
      </c>
      <c r="D1308" s="9" t="s">
        <v>8</v>
      </c>
      <c r="E1308" s="57" t="s">
        <v>29</v>
      </c>
      <c r="F1308" s="58">
        <v>2</v>
      </c>
      <c r="G1308" s="58"/>
      <c r="H1308" s="58" t="s">
        <v>18</v>
      </c>
    </row>
    <row r="1309" spans="2:8" ht="15" customHeight="1" x14ac:dyDescent="0.3">
      <c r="B1309" s="86">
        <v>45732</v>
      </c>
      <c r="C1309" s="9" t="s">
        <v>7</v>
      </c>
      <c r="D1309" s="9" t="s">
        <v>8</v>
      </c>
      <c r="E1309" s="57" t="s">
        <v>9</v>
      </c>
      <c r="F1309" s="58">
        <v>1</v>
      </c>
      <c r="G1309" s="58"/>
      <c r="H1309" s="58" t="s">
        <v>18</v>
      </c>
    </row>
    <row r="1310" spans="2:8" ht="15" customHeight="1" x14ac:dyDescent="0.3">
      <c r="B1310" s="86">
        <v>45732</v>
      </c>
      <c r="C1310" s="9" t="s">
        <v>28</v>
      </c>
      <c r="D1310" s="9" t="s">
        <v>8</v>
      </c>
      <c r="E1310" s="57" t="s">
        <v>29</v>
      </c>
      <c r="F1310" s="58"/>
      <c r="G1310" s="58">
        <v>1</v>
      </c>
      <c r="H1310" s="58" t="s">
        <v>171</v>
      </c>
    </row>
    <row r="1311" spans="2:8" ht="15" customHeight="1" x14ac:dyDescent="0.3">
      <c r="B1311" s="86">
        <v>45732</v>
      </c>
      <c r="C1311" s="9" t="s">
        <v>79</v>
      </c>
      <c r="D1311" s="9" t="s">
        <v>20</v>
      </c>
      <c r="E1311" s="57" t="s">
        <v>82</v>
      </c>
      <c r="F1311" s="58"/>
      <c r="G1311" s="58">
        <v>0.75</v>
      </c>
      <c r="H1311" s="58" t="s">
        <v>10</v>
      </c>
    </row>
    <row r="1312" spans="2:8" ht="15" customHeight="1" x14ac:dyDescent="0.3">
      <c r="B1312" s="86">
        <v>45732</v>
      </c>
      <c r="C1312" s="9" t="s">
        <v>45</v>
      </c>
      <c r="D1312" s="9" t="s">
        <v>12</v>
      </c>
      <c r="E1312" s="57" t="s">
        <v>59</v>
      </c>
      <c r="F1312" s="58"/>
      <c r="G1312" s="58">
        <v>32</v>
      </c>
      <c r="H1312" s="58" t="s">
        <v>10</v>
      </c>
    </row>
    <row r="1313" spans="2:8" ht="15" customHeight="1" x14ac:dyDescent="0.3">
      <c r="B1313" s="86">
        <v>45732</v>
      </c>
      <c r="C1313" s="14" t="s">
        <v>11</v>
      </c>
      <c r="D1313" s="18" t="s">
        <v>12</v>
      </c>
      <c r="E1313" s="18" t="s">
        <v>13</v>
      </c>
      <c r="F1313" s="58"/>
      <c r="G1313" s="58">
        <v>12</v>
      </c>
      <c r="H1313" s="58" t="s">
        <v>10</v>
      </c>
    </row>
    <row r="1314" spans="2:8" ht="15" customHeight="1" x14ac:dyDescent="0.3">
      <c r="B1314" s="86">
        <v>45732</v>
      </c>
      <c r="C1314" s="9" t="s">
        <v>127</v>
      </c>
      <c r="D1314" s="9" t="s">
        <v>12</v>
      </c>
      <c r="E1314" s="18" t="s">
        <v>99</v>
      </c>
      <c r="F1314" s="58"/>
      <c r="G1314" s="58">
        <v>12</v>
      </c>
      <c r="H1314" s="58" t="s">
        <v>10</v>
      </c>
    </row>
    <row r="1315" spans="2:8" ht="15" customHeight="1" x14ac:dyDescent="0.3">
      <c r="B1315" s="86">
        <v>45732</v>
      </c>
      <c r="C1315" s="8" t="s">
        <v>93</v>
      </c>
      <c r="D1315" s="18" t="s">
        <v>12</v>
      </c>
      <c r="E1315" s="18" t="s">
        <v>94</v>
      </c>
      <c r="F1315" s="58"/>
      <c r="G1315" s="58">
        <v>10</v>
      </c>
      <c r="H1315" s="58" t="s">
        <v>10</v>
      </c>
    </row>
    <row r="1316" spans="2:8" ht="15" customHeight="1" x14ac:dyDescent="0.3">
      <c r="B1316" s="86">
        <v>45732</v>
      </c>
      <c r="C1316" s="37" t="s">
        <v>167</v>
      </c>
      <c r="D1316" s="93" t="s">
        <v>12</v>
      </c>
      <c r="E1316" s="93" t="s">
        <v>168</v>
      </c>
      <c r="F1316" s="58"/>
      <c r="G1316" s="58">
        <v>5</v>
      </c>
      <c r="H1316" s="58" t="s">
        <v>10</v>
      </c>
    </row>
    <row r="1317" spans="2:8" ht="15" customHeight="1" x14ac:dyDescent="0.3">
      <c r="B1317" s="86">
        <v>45732</v>
      </c>
      <c r="C1317" s="9" t="s">
        <v>57</v>
      </c>
      <c r="D1317" s="9" t="s">
        <v>12</v>
      </c>
      <c r="E1317" s="18" t="s">
        <v>58</v>
      </c>
      <c r="F1317" s="58"/>
      <c r="G1317" s="58">
        <v>40</v>
      </c>
      <c r="H1317" s="58" t="s">
        <v>10</v>
      </c>
    </row>
    <row r="1318" spans="2:8" ht="15" customHeight="1" x14ac:dyDescent="0.3">
      <c r="B1318" s="86">
        <v>45732</v>
      </c>
      <c r="C1318" s="9" t="s">
        <v>55</v>
      </c>
      <c r="D1318" s="9" t="s">
        <v>12</v>
      </c>
      <c r="E1318" s="101" t="s">
        <v>56</v>
      </c>
      <c r="F1318" s="58"/>
      <c r="G1318" s="58">
        <v>38</v>
      </c>
      <c r="H1318" s="58" t="s">
        <v>10</v>
      </c>
    </row>
    <row r="1319" spans="2:8" ht="15" customHeight="1" x14ac:dyDescent="0.3">
      <c r="B1319" s="86">
        <v>45732</v>
      </c>
      <c r="C1319" s="9" t="s">
        <v>43</v>
      </c>
      <c r="D1319" s="9" t="s">
        <v>20</v>
      </c>
      <c r="E1319" s="57" t="s">
        <v>44</v>
      </c>
      <c r="F1319" s="58">
        <f>12+12</f>
        <v>24</v>
      </c>
      <c r="G1319" s="58"/>
      <c r="H1319" s="58" t="s">
        <v>18</v>
      </c>
    </row>
    <row r="1320" spans="2:8" ht="15" customHeight="1" x14ac:dyDescent="0.3">
      <c r="B1320" s="86">
        <v>45732</v>
      </c>
      <c r="C1320" s="9" t="s">
        <v>41</v>
      </c>
      <c r="D1320" s="9" t="s">
        <v>20</v>
      </c>
      <c r="E1320" s="57" t="s">
        <v>42</v>
      </c>
      <c r="F1320" s="58">
        <v>7.5</v>
      </c>
      <c r="G1320" s="58"/>
      <c r="H1320" s="58" t="s">
        <v>18</v>
      </c>
    </row>
    <row r="1321" spans="2:8" ht="15" customHeight="1" x14ac:dyDescent="0.3">
      <c r="B1321" s="86">
        <v>45732</v>
      </c>
      <c r="C1321" s="9" t="s">
        <v>39</v>
      </c>
      <c r="D1321" s="9" t="s">
        <v>20</v>
      </c>
      <c r="E1321" s="57" t="s">
        <v>40</v>
      </c>
      <c r="F1321" s="58">
        <v>7.5</v>
      </c>
      <c r="G1321" s="58"/>
      <c r="H1321" s="58" t="s">
        <v>18</v>
      </c>
    </row>
    <row r="1322" spans="2:8" ht="15" customHeight="1" x14ac:dyDescent="0.3">
      <c r="B1322" s="86">
        <v>45732</v>
      </c>
      <c r="C1322" s="26" t="s">
        <v>101</v>
      </c>
      <c r="D1322" s="18" t="s">
        <v>8</v>
      </c>
      <c r="E1322" s="18" t="s">
        <v>102</v>
      </c>
      <c r="F1322" s="58">
        <v>1</v>
      </c>
      <c r="G1322" s="58"/>
      <c r="H1322" s="58" t="s">
        <v>18</v>
      </c>
    </row>
    <row r="1323" spans="2:8" ht="15" customHeight="1" x14ac:dyDescent="0.3">
      <c r="B1323" s="86">
        <v>45732</v>
      </c>
      <c r="C1323" s="26" t="s">
        <v>151</v>
      </c>
      <c r="D1323" s="18" t="s">
        <v>20</v>
      </c>
      <c r="E1323" s="18" t="s">
        <v>152</v>
      </c>
      <c r="F1323" s="58">
        <v>4.5999999999999996</v>
      </c>
      <c r="G1323" s="58"/>
      <c r="H1323" s="58" t="s">
        <v>18</v>
      </c>
    </row>
    <row r="1324" spans="2:8" ht="15" customHeight="1" x14ac:dyDescent="0.3">
      <c r="B1324" s="86">
        <v>45732</v>
      </c>
      <c r="C1324" s="9" t="s">
        <v>70</v>
      </c>
      <c r="D1324" s="9" t="s">
        <v>71</v>
      </c>
      <c r="E1324" s="57" t="s">
        <v>72</v>
      </c>
      <c r="F1324" s="58">
        <v>2</v>
      </c>
      <c r="G1324" s="58"/>
      <c r="H1324" s="58" t="s">
        <v>18</v>
      </c>
    </row>
    <row r="1325" spans="2:8" ht="15" customHeight="1" x14ac:dyDescent="0.3">
      <c r="B1325" s="86">
        <v>45732</v>
      </c>
      <c r="C1325" s="9" t="s">
        <v>73</v>
      </c>
      <c r="D1325" s="9" t="s">
        <v>71</v>
      </c>
      <c r="E1325" s="57" t="s">
        <v>74</v>
      </c>
      <c r="F1325" s="58">
        <v>3</v>
      </c>
      <c r="G1325" s="58"/>
      <c r="H1325" s="58" t="s">
        <v>18</v>
      </c>
    </row>
    <row r="1326" spans="2:8" ht="15" customHeight="1" x14ac:dyDescent="0.3">
      <c r="B1326" s="86">
        <v>45733</v>
      </c>
      <c r="C1326" s="18" t="s">
        <v>115</v>
      </c>
      <c r="D1326" s="25" t="s">
        <v>166</v>
      </c>
      <c r="E1326" s="18" t="s">
        <v>116</v>
      </c>
      <c r="F1326" s="58">
        <v>10</v>
      </c>
      <c r="G1326" s="58"/>
      <c r="H1326" s="58" t="s">
        <v>18</v>
      </c>
    </row>
    <row r="1327" spans="2:8" ht="15" customHeight="1" x14ac:dyDescent="0.3">
      <c r="B1327" s="86">
        <v>45733</v>
      </c>
      <c r="C1327" s="9" t="s">
        <v>79</v>
      </c>
      <c r="D1327" s="9" t="s">
        <v>20</v>
      </c>
      <c r="E1327" s="57" t="s">
        <v>82</v>
      </c>
      <c r="F1327" s="58"/>
      <c r="G1327" s="58">
        <v>0.55000000000000004</v>
      </c>
      <c r="H1327" s="58" t="s">
        <v>10</v>
      </c>
    </row>
    <row r="1328" spans="2:8" ht="15" customHeight="1" x14ac:dyDescent="0.3">
      <c r="B1328" s="86">
        <v>45733</v>
      </c>
      <c r="C1328" s="9" t="s">
        <v>14</v>
      </c>
      <c r="D1328" s="9" t="s">
        <v>12</v>
      </c>
      <c r="E1328" s="57" t="s">
        <v>15</v>
      </c>
      <c r="F1328" s="58"/>
      <c r="G1328" s="58">
        <v>13</v>
      </c>
      <c r="H1328" s="58" t="s">
        <v>10</v>
      </c>
    </row>
    <row r="1329" spans="2:8" ht="15" customHeight="1" x14ac:dyDescent="0.3">
      <c r="B1329" s="86">
        <v>45733</v>
      </c>
      <c r="C1329" s="9" t="s">
        <v>7</v>
      </c>
      <c r="D1329" s="9" t="s">
        <v>8</v>
      </c>
      <c r="E1329" s="57" t="s">
        <v>9</v>
      </c>
      <c r="F1329" s="58"/>
      <c r="G1329" s="58">
        <v>1</v>
      </c>
      <c r="H1329" s="58" t="s">
        <v>10</v>
      </c>
    </row>
    <row r="1330" spans="2:8" ht="15" customHeight="1" x14ac:dyDescent="0.3">
      <c r="B1330" s="86">
        <v>45733</v>
      </c>
      <c r="C1330" s="9" t="s">
        <v>30</v>
      </c>
      <c r="D1330" s="9" t="s">
        <v>8</v>
      </c>
      <c r="E1330" s="57" t="s">
        <v>31</v>
      </c>
      <c r="F1330" s="58"/>
      <c r="G1330" s="58">
        <v>1</v>
      </c>
      <c r="H1330" s="58" t="s">
        <v>10</v>
      </c>
    </row>
    <row r="1331" spans="2:8" ht="15" customHeight="1" x14ac:dyDescent="0.3">
      <c r="B1331" s="86">
        <v>45734</v>
      </c>
      <c r="C1331" s="9" t="s">
        <v>7</v>
      </c>
      <c r="D1331" s="9" t="s">
        <v>8</v>
      </c>
      <c r="E1331" s="57" t="s">
        <v>9</v>
      </c>
      <c r="F1331" s="58">
        <v>1</v>
      </c>
      <c r="G1331" s="58"/>
      <c r="H1331" s="58" t="s">
        <v>18</v>
      </c>
    </row>
    <row r="1332" spans="2:8" ht="15" customHeight="1" x14ac:dyDescent="0.3">
      <c r="B1332" s="86">
        <v>45734</v>
      </c>
      <c r="C1332" s="9" t="s">
        <v>7</v>
      </c>
      <c r="D1332" s="9" t="s">
        <v>8</v>
      </c>
      <c r="E1332" s="57" t="s">
        <v>9</v>
      </c>
      <c r="F1332" s="58"/>
      <c r="G1332" s="58">
        <v>2</v>
      </c>
      <c r="H1332" s="58" t="s">
        <v>10</v>
      </c>
    </row>
    <row r="1333" spans="2:8" ht="15" customHeight="1" x14ac:dyDescent="0.3">
      <c r="B1333" s="86">
        <v>45734</v>
      </c>
      <c r="C1333" s="9" t="s">
        <v>28</v>
      </c>
      <c r="D1333" s="9" t="s">
        <v>8</v>
      </c>
      <c r="E1333" s="57" t="s">
        <v>29</v>
      </c>
      <c r="F1333" s="58"/>
      <c r="G1333" s="58">
        <v>1</v>
      </c>
      <c r="H1333" s="58" t="s">
        <v>10</v>
      </c>
    </row>
    <row r="1334" spans="2:8" ht="15" customHeight="1" x14ac:dyDescent="0.3">
      <c r="B1334" s="86">
        <v>45735</v>
      </c>
      <c r="C1334" s="9" t="s">
        <v>43</v>
      </c>
      <c r="D1334" s="9" t="s">
        <v>20</v>
      </c>
      <c r="E1334" s="57" t="s">
        <v>44</v>
      </c>
      <c r="F1334" s="58"/>
      <c r="G1334" s="58">
        <v>5.2</v>
      </c>
      <c r="H1334" s="58" t="s">
        <v>10</v>
      </c>
    </row>
    <row r="1335" spans="2:8" ht="15" customHeight="1" x14ac:dyDescent="0.3">
      <c r="B1335" s="86">
        <v>45735</v>
      </c>
      <c r="C1335" s="9" t="s">
        <v>77</v>
      </c>
      <c r="D1335" s="9" t="s">
        <v>20</v>
      </c>
      <c r="E1335" s="57" t="s">
        <v>78</v>
      </c>
      <c r="F1335" s="58">
        <v>0.7</v>
      </c>
      <c r="G1335" s="58"/>
      <c r="H1335" s="58" t="s">
        <v>18</v>
      </c>
    </row>
    <row r="1336" spans="2:8" ht="15" customHeight="1" x14ac:dyDescent="0.3">
      <c r="B1336" s="86">
        <v>45735</v>
      </c>
      <c r="C1336" s="9" t="s">
        <v>73</v>
      </c>
      <c r="D1336" s="9" t="s">
        <v>12</v>
      </c>
      <c r="E1336" s="57" t="s">
        <v>74</v>
      </c>
      <c r="F1336" s="58"/>
      <c r="G1336" s="58">
        <v>1</v>
      </c>
      <c r="H1336" s="58" t="s">
        <v>10</v>
      </c>
    </row>
    <row r="1337" spans="2:8" ht="15" customHeight="1" x14ac:dyDescent="0.3">
      <c r="B1337" s="86">
        <v>45735</v>
      </c>
      <c r="C1337" s="9" t="s">
        <v>70</v>
      </c>
      <c r="D1337" s="9" t="s">
        <v>12</v>
      </c>
      <c r="E1337" s="57" t="s">
        <v>72</v>
      </c>
      <c r="F1337" s="58"/>
      <c r="G1337" s="58">
        <v>2</v>
      </c>
      <c r="H1337" s="58" t="s">
        <v>10</v>
      </c>
    </row>
    <row r="1338" spans="2:8" ht="15" customHeight="1" x14ac:dyDescent="0.3">
      <c r="B1338" s="86">
        <v>45735</v>
      </c>
      <c r="C1338" s="9" t="s">
        <v>80</v>
      </c>
      <c r="D1338" s="9" t="s">
        <v>12</v>
      </c>
      <c r="E1338" s="57" t="s">
        <v>81</v>
      </c>
      <c r="F1338" s="58"/>
      <c r="G1338" s="58">
        <v>1</v>
      </c>
      <c r="H1338" s="58" t="s">
        <v>10</v>
      </c>
    </row>
    <row r="1339" spans="2:8" ht="15" customHeight="1" x14ac:dyDescent="0.3">
      <c r="B1339" s="86">
        <v>45735</v>
      </c>
      <c r="C1339" s="9" t="s">
        <v>51</v>
      </c>
      <c r="D1339" s="9" t="s">
        <v>20</v>
      </c>
      <c r="E1339" s="57" t="s">
        <v>52</v>
      </c>
      <c r="F1339" s="58">
        <v>6.5</v>
      </c>
      <c r="G1339" s="58"/>
      <c r="H1339" s="58" t="s">
        <v>18</v>
      </c>
    </row>
    <row r="1340" spans="2:8" ht="15" customHeight="1" x14ac:dyDescent="0.3">
      <c r="B1340" s="86">
        <v>45735</v>
      </c>
      <c r="C1340" s="8" t="s">
        <v>93</v>
      </c>
      <c r="D1340" s="18" t="s">
        <v>12</v>
      </c>
      <c r="E1340" s="18" t="s">
        <v>94</v>
      </c>
      <c r="F1340" s="58"/>
      <c r="G1340" s="58">
        <v>3</v>
      </c>
      <c r="H1340" s="58" t="s">
        <v>10</v>
      </c>
    </row>
    <row r="1341" spans="2:8" ht="15" customHeight="1" x14ac:dyDescent="0.3">
      <c r="B1341" s="86">
        <v>45735</v>
      </c>
      <c r="C1341" s="18" t="s">
        <v>115</v>
      </c>
      <c r="D1341" s="18" t="s">
        <v>12</v>
      </c>
      <c r="E1341" s="18" t="s">
        <v>116</v>
      </c>
      <c r="F1341" s="58"/>
      <c r="G1341" s="58">
        <v>4</v>
      </c>
      <c r="H1341" s="58" t="s">
        <v>10</v>
      </c>
    </row>
    <row r="1342" spans="2:8" ht="15" customHeight="1" x14ac:dyDescent="0.3">
      <c r="B1342" s="86">
        <v>45735</v>
      </c>
      <c r="C1342" s="9" t="s">
        <v>57</v>
      </c>
      <c r="D1342" s="9" t="s">
        <v>12</v>
      </c>
      <c r="E1342" s="18" t="s">
        <v>58</v>
      </c>
      <c r="F1342" s="58"/>
      <c r="G1342" s="58">
        <v>320</v>
      </c>
      <c r="H1342" s="58" t="s">
        <v>171</v>
      </c>
    </row>
    <row r="1343" spans="2:8" ht="15" customHeight="1" x14ac:dyDescent="0.3">
      <c r="B1343" s="86">
        <v>45735</v>
      </c>
      <c r="C1343" s="9" t="s">
        <v>57</v>
      </c>
      <c r="D1343" s="9" t="s">
        <v>12</v>
      </c>
      <c r="E1343" s="18" t="s">
        <v>58</v>
      </c>
      <c r="F1343" s="58"/>
      <c r="G1343" s="58">
        <v>32</v>
      </c>
      <c r="H1343" s="58" t="s">
        <v>10</v>
      </c>
    </row>
    <row r="1344" spans="2:8" ht="15" customHeight="1" x14ac:dyDescent="0.3">
      <c r="B1344" s="86">
        <v>45735</v>
      </c>
      <c r="C1344" s="9" t="s">
        <v>127</v>
      </c>
      <c r="D1344" s="9" t="s">
        <v>12</v>
      </c>
      <c r="E1344" s="57" t="s">
        <v>99</v>
      </c>
      <c r="F1344" s="58"/>
      <c r="G1344" s="58">
        <v>4</v>
      </c>
      <c r="H1344" s="58" t="s">
        <v>10</v>
      </c>
    </row>
    <row r="1345" spans="2:8" ht="15" customHeight="1" x14ac:dyDescent="0.3">
      <c r="B1345" s="86">
        <v>45735</v>
      </c>
      <c r="C1345" s="9" t="s">
        <v>45</v>
      </c>
      <c r="D1345" s="9" t="s">
        <v>12</v>
      </c>
      <c r="E1345" s="57" t="s">
        <v>59</v>
      </c>
      <c r="F1345" s="58"/>
      <c r="G1345" s="58">
        <v>86</v>
      </c>
      <c r="H1345" s="58" t="s">
        <v>10</v>
      </c>
    </row>
    <row r="1346" spans="2:8" ht="15" customHeight="1" x14ac:dyDescent="0.3">
      <c r="B1346" s="86">
        <v>45735</v>
      </c>
      <c r="C1346" s="14" t="s">
        <v>11</v>
      </c>
      <c r="D1346" s="18" t="s">
        <v>12</v>
      </c>
      <c r="E1346" s="18" t="s">
        <v>13</v>
      </c>
      <c r="F1346" s="58"/>
      <c r="G1346" s="58">
        <v>2</v>
      </c>
      <c r="H1346" s="58" t="s">
        <v>10</v>
      </c>
    </row>
    <row r="1347" spans="2:8" ht="15" customHeight="1" x14ac:dyDescent="0.3">
      <c r="B1347" s="86">
        <v>45735</v>
      </c>
      <c r="C1347" s="9" t="s">
        <v>61</v>
      </c>
      <c r="D1347" s="9" t="s">
        <v>20</v>
      </c>
      <c r="E1347" s="57" t="s">
        <v>62</v>
      </c>
      <c r="F1347" s="58"/>
      <c r="G1347" s="58">
        <v>2</v>
      </c>
      <c r="H1347" s="58" t="s">
        <v>10</v>
      </c>
    </row>
    <row r="1348" spans="2:8" ht="15" customHeight="1" x14ac:dyDescent="0.3">
      <c r="B1348" s="86">
        <v>45735</v>
      </c>
      <c r="C1348" s="14" t="s">
        <v>126</v>
      </c>
      <c r="D1348" s="9" t="s">
        <v>12</v>
      </c>
      <c r="E1348" s="57" t="s">
        <v>97</v>
      </c>
      <c r="F1348" s="58"/>
      <c r="G1348" s="58">
        <v>17</v>
      </c>
      <c r="H1348" s="58" t="s">
        <v>10</v>
      </c>
    </row>
    <row r="1349" spans="2:8" ht="15" customHeight="1" x14ac:dyDescent="0.3">
      <c r="B1349" s="86">
        <v>45735</v>
      </c>
      <c r="C1349" s="9" t="s">
        <v>79</v>
      </c>
      <c r="D1349" s="9" t="s">
        <v>20</v>
      </c>
      <c r="E1349" s="57" t="s">
        <v>82</v>
      </c>
      <c r="F1349" s="58">
        <v>1</v>
      </c>
      <c r="G1349" s="58"/>
      <c r="H1349" s="58" t="s">
        <v>18</v>
      </c>
    </row>
    <row r="1350" spans="2:8" ht="15" customHeight="1" x14ac:dyDescent="0.3">
      <c r="B1350" s="86">
        <v>45735</v>
      </c>
      <c r="C1350" s="9" t="s">
        <v>151</v>
      </c>
      <c r="D1350" s="9" t="s">
        <v>20</v>
      </c>
      <c r="E1350" s="57" t="s">
        <v>152</v>
      </c>
      <c r="F1350" s="58"/>
      <c r="G1350" s="58">
        <v>1</v>
      </c>
      <c r="H1350" s="58" t="s">
        <v>10</v>
      </c>
    </row>
    <row r="1351" spans="2:8" ht="15" customHeight="1" x14ac:dyDescent="0.3">
      <c r="B1351" s="86">
        <v>45735</v>
      </c>
      <c r="C1351" s="18" t="s">
        <v>63</v>
      </c>
      <c r="D1351" s="18" t="s">
        <v>20</v>
      </c>
      <c r="E1351" s="18" t="s">
        <v>64</v>
      </c>
      <c r="F1351" s="58">
        <v>2.5</v>
      </c>
      <c r="G1351" s="58"/>
      <c r="H1351" s="58" t="s">
        <v>18</v>
      </c>
    </row>
    <row r="1352" spans="2:8" ht="15" customHeight="1" x14ac:dyDescent="0.3">
      <c r="B1352" s="86">
        <v>45735</v>
      </c>
      <c r="C1352" s="39" t="s">
        <v>90</v>
      </c>
      <c r="D1352" s="9" t="s">
        <v>20</v>
      </c>
      <c r="E1352" s="57" t="s">
        <v>91</v>
      </c>
      <c r="F1352" s="58">
        <v>10</v>
      </c>
      <c r="G1352" s="58"/>
      <c r="H1352" s="58" t="s">
        <v>18</v>
      </c>
    </row>
    <row r="1353" spans="2:8" ht="15" customHeight="1" x14ac:dyDescent="0.3">
      <c r="B1353" s="86">
        <v>45735</v>
      </c>
      <c r="C1353" s="26" t="s">
        <v>87</v>
      </c>
      <c r="D1353" s="9" t="s">
        <v>20</v>
      </c>
      <c r="E1353" s="57" t="s">
        <v>88</v>
      </c>
      <c r="F1353" s="58"/>
      <c r="G1353" s="58">
        <v>9</v>
      </c>
      <c r="H1353" s="58" t="s">
        <v>10</v>
      </c>
    </row>
    <row r="1354" spans="2:8" ht="15" customHeight="1" x14ac:dyDescent="0.3">
      <c r="B1354" s="86">
        <v>45735</v>
      </c>
      <c r="C1354" s="42" t="s">
        <v>106</v>
      </c>
      <c r="D1354" s="18" t="s">
        <v>12</v>
      </c>
      <c r="E1354" s="18" t="s">
        <v>107</v>
      </c>
      <c r="F1354" s="58"/>
      <c r="G1354" s="58">
        <v>1</v>
      </c>
      <c r="H1354" s="58" t="s">
        <v>10</v>
      </c>
    </row>
    <row r="1355" spans="2:8" ht="15" customHeight="1" x14ac:dyDescent="0.3">
      <c r="B1355" s="86">
        <v>45735</v>
      </c>
      <c r="C1355" s="102" t="s">
        <v>172</v>
      </c>
      <c r="D1355" s="101" t="s">
        <v>12</v>
      </c>
      <c r="E1355" s="101" t="s">
        <v>173</v>
      </c>
      <c r="F1355" s="58">
        <v>5000</v>
      </c>
      <c r="G1355" s="58"/>
      <c r="H1355" s="58" t="s">
        <v>18</v>
      </c>
    </row>
    <row r="1356" spans="2:8" ht="15" customHeight="1" x14ac:dyDescent="0.3">
      <c r="B1356" s="86">
        <v>45735</v>
      </c>
      <c r="C1356" s="9" t="s">
        <v>14</v>
      </c>
      <c r="D1356" s="9" t="s">
        <v>12</v>
      </c>
      <c r="E1356" s="18" t="s">
        <v>15</v>
      </c>
      <c r="F1356" s="58">
        <f>40*22</f>
        <v>880</v>
      </c>
      <c r="G1356" s="58"/>
      <c r="H1356" s="58" t="s">
        <v>18</v>
      </c>
    </row>
    <row r="1357" spans="2:8" ht="15" customHeight="1" x14ac:dyDescent="0.3">
      <c r="B1357" s="86">
        <v>45735</v>
      </c>
      <c r="C1357" s="39" t="s">
        <v>83</v>
      </c>
      <c r="D1357" s="25" t="s">
        <v>33</v>
      </c>
      <c r="E1357" s="18" t="s">
        <v>84</v>
      </c>
      <c r="F1357" s="58">
        <v>5</v>
      </c>
      <c r="G1357" s="58"/>
      <c r="H1357" s="58" t="s">
        <v>18</v>
      </c>
    </row>
    <row r="1358" spans="2:8" ht="15" customHeight="1" x14ac:dyDescent="0.3">
      <c r="B1358" s="86">
        <v>45735</v>
      </c>
      <c r="C1358" s="9" t="s">
        <v>55</v>
      </c>
      <c r="D1358" s="9" t="s">
        <v>12</v>
      </c>
      <c r="E1358" s="18" t="s">
        <v>56</v>
      </c>
      <c r="F1358" s="58"/>
      <c r="G1358" s="58">
        <v>30</v>
      </c>
      <c r="H1358" s="58" t="s">
        <v>10</v>
      </c>
    </row>
    <row r="1359" spans="2:8" ht="15" customHeight="1" x14ac:dyDescent="0.3">
      <c r="B1359" s="86">
        <v>45735</v>
      </c>
      <c r="C1359" s="9" t="s">
        <v>57</v>
      </c>
      <c r="D1359" s="9" t="s">
        <v>12</v>
      </c>
      <c r="E1359" s="18" t="s">
        <v>58</v>
      </c>
      <c r="F1359" s="58"/>
      <c r="G1359" s="58">
        <v>32</v>
      </c>
      <c r="H1359" s="58" t="s">
        <v>10</v>
      </c>
    </row>
    <row r="1360" spans="2:8" ht="15" customHeight="1" x14ac:dyDescent="0.3">
      <c r="B1360" s="86">
        <v>45735</v>
      </c>
      <c r="C1360" s="9" t="s">
        <v>79</v>
      </c>
      <c r="D1360" s="9" t="s">
        <v>20</v>
      </c>
      <c r="E1360" s="57" t="s">
        <v>82</v>
      </c>
      <c r="F1360" s="58"/>
      <c r="G1360" s="58">
        <v>1</v>
      </c>
      <c r="H1360" s="58" t="s">
        <v>10</v>
      </c>
    </row>
    <row r="1361" spans="2:8" ht="15" customHeight="1" x14ac:dyDescent="0.3">
      <c r="B1361" s="86">
        <v>45735</v>
      </c>
      <c r="C1361" s="9" t="s">
        <v>75</v>
      </c>
      <c r="D1361" s="9" t="s">
        <v>8</v>
      </c>
      <c r="E1361" s="57" t="s">
        <v>76</v>
      </c>
      <c r="F1361" s="58"/>
      <c r="G1361" s="58">
        <v>1</v>
      </c>
      <c r="H1361" s="58" t="s">
        <v>10</v>
      </c>
    </row>
    <row r="1362" spans="2:8" ht="15" customHeight="1" x14ac:dyDescent="0.3">
      <c r="B1362" s="86">
        <v>45736</v>
      </c>
      <c r="C1362" s="14" t="s">
        <v>11</v>
      </c>
      <c r="D1362" s="18" t="s">
        <v>12</v>
      </c>
      <c r="E1362" s="18" t="s">
        <v>13</v>
      </c>
      <c r="F1362" s="58"/>
      <c r="G1362" s="58">
        <v>13</v>
      </c>
      <c r="H1362" s="58" t="s">
        <v>10</v>
      </c>
    </row>
    <row r="1363" spans="2:8" ht="15" customHeight="1" x14ac:dyDescent="0.3">
      <c r="B1363" s="86">
        <v>45736</v>
      </c>
      <c r="C1363" s="9" t="s">
        <v>30</v>
      </c>
      <c r="D1363" s="9" t="s">
        <v>8</v>
      </c>
      <c r="E1363" s="57" t="s">
        <v>31</v>
      </c>
      <c r="F1363" s="58">
        <v>1</v>
      </c>
      <c r="G1363" s="58"/>
      <c r="H1363" s="58" t="s">
        <v>18</v>
      </c>
    </row>
    <row r="1364" spans="2:8" ht="15" customHeight="1" x14ac:dyDescent="0.3">
      <c r="B1364" s="86">
        <v>45736</v>
      </c>
      <c r="C1364" s="9" t="s">
        <v>7</v>
      </c>
      <c r="D1364" s="9" t="s">
        <v>8</v>
      </c>
      <c r="E1364" s="57" t="s">
        <v>9</v>
      </c>
      <c r="F1364" s="58">
        <v>3</v>
      </c>
      <c r="G1364" s="58"/>
      <c r="H1364" s="58" t="s">
        <v>18</v>
      </c>
    </row>
    <row r="1365" spans="2:8" ht="15" customHeight="1" x14ac:dyDescent="0.3">
      <c r="B1365" s="86">
        <v>45736</v>
      </c>
      <c r="C1365" s="9" t="s">
        <v>28</v>
      </c>
      <c r="D1365" s="9" t="s">
        <v>8</v>
      </c>
      <c r="E1365" s="57" t="s">
        <v>29</v>
      </c>
      <c r="F1365" s="58">
        <v>3</v>
      </c>
      <c r="G1365" s="58"/>
      <c r="H1365" s="58" t="s">
        <v>18</v>
      </c>
    </row>
    <row r="1366" spans="2:8" ht="15" customHeight="1" x14ac:dyDescent="0.3">
      <c r="B1366" s="86">
        <v>45736</v>
      </c>
      <c r="C1366" s="26" t="s">
        <v>101</v>
      </c>
      <c r="D1366" s="9" t="s">
        <v>8</v>
      </c>
      <c r="E1366" s="57" t="s">
        <v>102</v>
      </c>
      <c r="F1366" s="58">
        <v>1</v>
      </c>
      <c r="G1366" s="58"/>
      <c r="H1366" s="58" t="s">
        <v>18</v>
      </c>
    </row>
    <row r="1367" spans="2:8" ht="15" customHeight="1" x14ac:dyDescent="0.3">
      <c r="B1367" s="86">
        <v>45736</v>
      </c>
      <c r="C1367" s="9" t="s">
        <v>79</v>
      </c>
      <c r="D1367" s="9" t="s">
        <v>20</v>
      </c>
      <c r="E1367" s="57" t="s">
        <v>82</v>
      </c>
      <c r="F1367" s="58">
        <v>20</v>
      </c>
      <c r="G1367" s="58"/>
      <c r="H1367" s="58" t="s">
        <v>18</v>
      </c>
    </row>
    <row r="1368" spans="2:8" ht="15" customHeight="1" x14ac:dyDescent="0.3">
      <c r="B1368" s="86">
        <v>45736</v>
      </c>
      <c r="C1368" s="20" t="s">
        <v>26</v>
      </c>
      <c r="D1368" s="9" t="s">
        <v>20</v>
      </c>
      <c r="E1368" s="18" t="s">
        <v>27</v>
      </c>
      <c r="F1368" s="58">
        <v>2.5</v>
      </c>
      <c r="G1368" s="58"/>
      <c r="H1368" s="58" t="s">
        <v>18</v>
      </c>
    </row>
    <row r="1369" spans="2:8" ht="15" customHeight="1" x14ac:dyDescent="0.3">
      <c r="B1369" s="86">
        <v>45736</v>
      </c>
      <c r="C1369" s="20" t="s">
        <v>26</v>
      </c>
      <c r="D1369" s="9" t="s">
        <v>20</v>
      </c>
      <c r="E1369" s="18" t="s">
        <v>27</v>
      </c>
      <c r="F1369" s="58"/>
      <c r="G1369" s="58">
        <v>0.86</v>
      </c>
      <c r="H1369" s="58" t="s">
        <v>10</v>
      </c>
    </row>
    <row r="1370" spans="2:8" ht="15" customHeight="1" x14ac:dyDescent="0.3">
      <c r="B1370" s="86">
        <v>45736</v>
      </c>
      <c r="C1370" s="8" t="s">
        <v>93</v>
      </c>
      <c r="D1370" s="18" t="s">
        <v>12</v>
      </c>
      <c r="E1370" s="18" t="s">
        <v>94</v>
      </c>
      <c r="F1370" s="58"/>
      <c r="G1370" s="58">
        <v>5</v>
      </c>
      <c r="H1370" s="58" t="s">
        <v>10</v>
      </c>
    </row>
    <row r="1371" spans="2:8" ht="15" customHeight="1" x14ac:dyDescent="0.3">
      <c r="B1371" s="86">
        <v>45736</v>
      </c>
      <c r="C1371" s="9" t="s">
        <v>57</v>
      </c>
      <c r="D1371" s="9" t="s">
        <v>12</v>
      </c>
      <c r="E1371" s="18" t="s">
        <v>58</v>
      </c>
      <c r="F1371" s="58"/>
      <c r="G1371" s="58">
        <v>32</v>
      </c>
      <c r="H1371" s="58" t="s">
        <v>10</v>
      </c>
    </row>
    <row r="1372" spans="2:8" ht="15" customHeight="1" x14ac:dyDescent="0.3">
      <c r="B1372" s="86">
        <v>45736</v>
      </c>
      <c r="C1372" s="9" t="s">
        <v>14</v>
      </c>
      <c r="D1372" s="9" t="s">
        <v>12</v>
      </c>
      <c r="E1372" s="18" t="s">
        <v>15</v>
      </c>
      <c r="F1372" s="58"/>
      <c r="G1372" s="58">
        <v>22</v>
      </c>
      <c r="H1372" s="58" t="s">
        <v>10</v>
      </c>
    </row>
    <row r="1373" spans="2:8" ht="15" customHeight="1" x14ac:dyDescent="0.3">
      <c r="B1373" s="86">
        <v>45736</v>
      </c>
      <c r="C1373" s="39" t="s">
        <v>90</v>
      </c>
      <c r="D1373" s="18" t="s">
        <v>20</v>
      </c>
      <c r="E1373" s="18" t="s">
        <v>91</v>
      </c>
      <c r="F1373" s="58"/>
      <c r="G1373" s="58">
        <v>10</v>
      </c>
      <c r="H1373" s="58" t="s">
        <v>10</v>
      </c>
    </row>
    <row r="1374" spans="2:8" ht="15" customHeight="1" x14ac:dyDescent="0.3">
      <c r="B1374" s="86">
        <v>45737</v>
      </c>
      <c r="C1374" s="9" t="s">
        <v>79</v>
      </c>
      <c r="D1374" s="9" t="s">
        <v>20</v>
      </c>
      <c r="E1374" s="57" t="s">
        <v>82</v>
      </c>
      <c r="F1374" s="58"/>
      <c r="G1374" s="58">
        <v>0.83</v>
      </c>
      <c r="H1374" s="58" t="s">
        <v>10</v>
      </c>
    </row>
    <row r="1375" spans="2:8" ht="15" customHeight="1" x14ac:dyDescent="0.3">
      <c r="B1375" s="86">
        <v>45737</v>
      </c>
      <c r="C1375" s="9" t="s">
        <v>51</v>
      </c>
      <c r="D1375" s="9" t="s">
        <v>20</v>
      </c>
      <c r="E1375" s="57" t="s">
        <v>52</v>
      </c>
      <c r="F1375" s="58"/>
      <c r="G1375" s="58">
        <v>0.95</v>
      </c>
      <c r="H1375" s="58" t="s">
        <v>10</v>
      </c>
    </row>
    <row r="1376" spans="2:8" ht="15" customHeight="1" x14ac:dyDescent="0.3">
      <c r="B1376" s="86">
        <v>45737</v>
      </c>
      <c r="C1376" s="9" t="s">
        <v>7</v>
      </c>
      <c r="D1376" s="9" t="s">
        <v>8</v>
      </c>
      <c r="E1376" s="57" t="s">
        <v>9</v>
      </c>
      <c r="F1376" s="58"/>
      <c r="G1376" s="58">
        <v>1</v>
      </c>
      <c r="H1376" s="58" t="s">
        <v>10</v>
      </c>
    </row>
    <row r="1377" spans="2:8" ht="15" customHeight="1" x14ac:dyDescent="0.3">
      <c r="B1377" s="86">
        <v>45737</v>
      </c>
      <c r="C1377" s="9" t="s">
        <v>28</v>
      </c>
      <c r="D1377" s="9" t="s">
        <v>8</v>
      </c>
      <c r="E1377" s="57" t="s">
        <v>29</v>
      </c>
      <c r="F1377" s="58"/>
      <c r="G1377" s="58">
        <v>1</v>
      </c>
      <c r="H1377" s="58" t="s">
        <v>10</v>
      </c>
    </row>
    <row r="1378" spans="2:8" ht="15" customHeight="1" x14ac:dyDescent="0.3">
      <c r="B1378" s="86">
        <v>45738</v>
      </c>
      <c r="C1378" s="9" t="s">
        <v>79</v>
      </c>
      <c r="D1378" s="9" t="s">
        <v>20</v>
      </c>
      <c r="E1378" s="57" t="s">
        <v>82</v>
      </c>
      <c r="F1378" s="58"/>
      <c r="G1378" s="58">
        <v>0.7</v>
      </c>
      <c r="H1378" s="58" t="s">
        <v>10</v>
      </c>
    </row>
    <row r="1379" spans="2:8" ht="15" customHeight="1" x14ac:dyDescent="0.3">
      <c r="B1379" s="86">
        <v>45738</v>
      </c>
      <c r="C1379" s="9" t="s">
        <v>45</v>
      </c>
      <c r="D1379" s="9" t="s">
        <v>12</v>
      </c>
      <c r="E1379" s="57" t="s">
        <v>59</v>
      </c>
      <c r="F1379" s="58"/>
      <c r="G1379" s="58">
        <v>80</v>
      </c>
      <c r="H1379" s="58" t="s">
        <v>10</v>
      </c>
    </row>
    <row r="1380" spans="2:8" ht="15" customHeight="1" x14ac:dyDescent="0.3">
      <c r="B1380" s="86">
        <v>45738</v>
      </c>
      <c r="C1380" s="9" t="s">
        <v>28</v>
      </c>
      <c r="D1380" s="9" t="s">
        <v>8</v>
      </c>
      <c r="E1380" s="57" t="s">
        <v>29</v>
      </c>
      <c r="F1380" s="58">
        <v>2</v>
      </c>
      <c r="G1380" s="58"/>
      <c r="H1380" s="58" t="s">
        <v>18</v>
      </c>
    </row>
    <row r="1381" spans="2:8" ht="15" customHeight="1" x14ac:dyDescent="0.3">
      <c r="B1381" s="86">
        <v>45738</v>
      </c>
      <c r="C1381" s="9" t="s">
        <v>7</v>
      </c>
      <c r="D1381" s="9" t="s">
        <v>8</v>
      </c>
      <c r="E1381" s="57" t="s">
        <v>9</v>
      </c>
      <c r="F1381" s="58">
        <v>1</v>
      </c>
      <c r="G1381" s="58"/>
      <c r="H1381" s="58" t="s">
        <v>18</v>
      </c>
    </row>
    <row r="1382" spans="2:8" ht="15" customHeight="1" x14ac:dyDescent="0.3">
      <c r="B1382" s="86">
        <v>45738</v>
      </c>
      <c r="C1382" s="9" t="s">
        <v>7</v>
      </c>
      <c r="D1382" s="9" t="s">
        <v>8</v>
      </c>
      <c r="E1382" s="57"/>
      <c r="F1382" s="58">
        <v>1</v>
      </c>
      <c r="G1382" s="58"/>
      <c r="H1382" s="58" t="s">
        <v>18</v>
      </c>
    </row>
    <row r="1383" spans="2:8" ht="15" customHeight="1" x14ac:dyDescent="0.3">
      <c r="B1383" s="86">
        <v>45739</v>
      </c>
      <c r="C1383" s="9" t="s">
        <v>55</v>
      </c>
      <c r="D1383" s="9" t="s">
        <v>12</v>
      </c>
      <c r="E1383" s="18" t="s">
        <v>56</v>
      </c>
      <c r="F1383" s="58"/>
      <c r="G1383" s="58">
        <v>30</v>
      </c>
      <c r="H1383" s="58" t="s">
        <v>10</v>
      </c>
    </row>
    <row r="1384" spans="2:8" ht="15" customHeight="1" x14ac:dyDescent="0.3">
      <c r="B1384" s="86">
        <v>45739</v>
      </c>
      <c r="C1384" s="9" t="s">
        <v>57</v>
      </c>
      <c r="D1384" s="9" t="s">
        <v>12</v>
      </c>
      <c r="E1384" s="18" t="s">
        <v>58</v>
      </c>
      <c r="F1384" s="58"/>
      <c r="G1384" s="58">
        <v>32</v>
      </c>
      <c r="H1384" s="58" t="s">
        <v>10</v>
      </c>
    </row>
    <row r="1385" spans="2:8" ht="15" customHeight="1" x14ac:dyDescent="0.3">
      <c r="B1385" s="86">
        <v>45739</v>
      </c>
      <c r="C1385" s="9" t="s">
        <v>45</v>
      </c>
      <c r="D1385" s="9" t="s">
        <v>12</v>
      </c>
      <c r="E1385" s="57" t="s">
        <v>59</v>
      </c>
      <c r="F1385" s="58"/>
      <c r="G1385" s="58">
        <f>78-62</f>
        <v>16</v>
      </c>
      <c r="H1385" s="58" t="s">
        <v>10</v>
      </c>
    </row>
    <row r="1386" spans="2:8" ht="15" customHeight="1" x14ac:dyDescent="0.3">
      <c r="B1386" s="86">
        <v>45739</v>
      </c>
      <c r="C1386" s="8" t="s">
        <v>93</v>
      </c>
      <c r="D1386" s="18" t="s">
        <v>12</v>
      </c>
      <c r="E1386" s="18" t="s">
        <v>94</v>
      </c>
      <c r="F1386" s="58"/>
      <c r="G1386" s="58">
        <v>5</v>
      </c>
      <c r="H1386" s="58" t="s">
        <v>10</v>
      </c>
    </row>
    <row r="1387" spans="2:8" ht="15" customHeight="1" x14ac:dyDescent="0.3">
      <c r="B1387" s="86">
        <v>45739</v>
      </c>
      <c r="C1387" s="9" t="s">
        <v>14</v>
      </c>
      <c r="D1387" s="9" t="s">
        <v>12</v>
      </c>
      <c r="E1387" s="18" t="s">
        <v>15</v>
      </c>
      <c r="F1387" s="58"/>
      <c r="G1387" s="58">
        <v>22</v>
      </c>
      <c r="H1387" s="58" t="s">
        <v>10</v>
      </c>
    </row>
    <row r="1388" spans="2:8" ht="15" customHeight="1" x14ac:dyDescent="0.3">
      <c r="B1388" s="86">
        <v>45739</v>
      </c>
      <c r="C1388" s="14" t="s">
        <v>11</v>
      </c>
      <c r="D1388" s="18" t="s">
        <v>12</v>
      </c>
      <c r="E1388" s="18" t="s">
        <v>13</v>
      </c>
      <c r="F1388" s="58"/>
      <c r="G1388" s="58">
        <v>5</v>
      </c>
      <c r="H1388" s="58" t="s">
        <v>10</v>
      </c>
    </row>
    <row r="1389" spans="2:8" ht="15" customHeight="1" x14ac:dyDescent="0.3">
      <c r="B1389" s="103">
        <v>45739</v>
      </c>
      <c r="C1389" s="20" t="s">
        <v>26</v>
      </c>
      <c r="D1389" s="9" t="s">
        <v>20</v>
      </c>
      <c r="E1389" s="18" t="s">
        <v>27</v>
      </c>
      <c r="F1389" s="104"/>
      <c r="G1389" s="104">
        <v>0.4</v>
      </c>
      <c r="H1389" s="104" t="s">
        <v>10</v>
      </c>
    </row>
    <row r="1390" spans="2:8" ht="15" customHeight="1" x14ac:dyDescent="0.3">
      <c r="B1390" s="105">
        <v>45739</v>
      </c>
      <c r="C1390" s="18" t="s">
        <v>63</v>
      </c>
      <c r="D1390" s="18" t="s">
        <v>20</v>
      </c>
      <c r="E1390" s="18" t="s">
        <v>64</v>
      </c>
      <c r="F1390" s="106"/>
      <c r="G1390" s="106">
        <v>0.7</v>
      </c>
      <c r="H1390" s="106" t="s">
        <v>10</v>
      </c>
    </row>
    <row r="1391" spans="2:8" ht="15" customHeight="1" x14ac:dyDescent="0.3">
      <c r="B1391" s="105">
        <v>45739</v>
      </c>
      <c r="C1391" s="9" t="s">
        <v>79</v>
      </c>
      <c r="D1391" s="9" t="s">
        <v>20</v>
      </c>
      <c r="E1391" s="57" t="s">
        <v>82</v>
      </c>
      <c r="F1391" s="58"/>
      <c r="G1391" s="58">
        <v>1</v>
      </c>
      <c r="H1391" s="58" t="s">
        <v>10</v>
      </c>
    </row>
    <row r="1392" spans="2:8" ht="15" customHeight="1" x14ac:dyDescent="0.3">
      <c r="B1392" s="105">
        <v>45739</v>
      </c>
      <c r="C1392" s="9" t="s">
        <v>28</v>
      </c>
      <c r="D1392" s="9" t="s">
        <v>8</v>
      </c>
      <c r="E1392" s="57" t="s">
        <v>29</v>
      </c>
      <c r="F1392" s="58"/>
      <c r="G1392" s="58">
        <v>2</v>
      </c>
      <c r="H1392" s="58" t="s">
        <v>10</v>
      </c>
    </row>
    <row r="1393" spans="2:8" ht="15" customHeight="1" x14ac:dyDescent="0.3">
      <c r="B1393" s="105">
        <v>45739</v>
      </c>
      <c r="C1393" s="9" t="s">
        <v>7</v>
      </c>
      <c r="D1393" s="9" t="s">
        <v>8</v>
      </c>
      <c r="E1393" s="57" t="s">
        <v>9</v>
      </c>
      <c r="F1393" s="58"/>
      <c r="G1393" s="58">
        <v>1</v>
      </c>
      <c r="H1393" s="58" t="s">
        <v>10</v>
      </c>
    </row>
    <row r="1394" spans="2:8" ht="15" customHeight="1" x14ac:dyDescent="0.3">
      <c r="B1394" s="105">
        <v>45739</v>
      </c>
      <c r="C1394" s="26" t="s">
        <v>68</v>
      </c>
      <c r="D1394" s="18" t="s">
        <v>12</v>
      </c>
      <c r="E1394" s="18" t="s">
        <v>69</v>
      </c>
      <c r="F1394" s="58">
        <v>8</v>
      </c>
      <c r="G1394" s="58"/>
      <c r="H1394" s="58" t="s">
        <v>18</v>
      </c>
    </row>
    <row r="1395" spans="2:8" ht="15" customHeight="1" x14ac:dyDescent="0.3">
      <c r="B1395" s="105">
        <v>45740</v>
      </c>
      <c r="C1395" s="14" t="s">
        <v>126</v>
      </c>
      <c r="D1395" s="18" t="s">
        <v>12</v>
      </c>
      <c r="E1395" s="18" t="s">
        <v>97</v>
      </c>
      <c r="F1395" s="58"/>
      <c r="G1395" s="58">
        <v>16</v>
      </c>
      <c r="H1395" s="58" t="s">
        <v>10</v>
      </c>
    </row>
    <row r="1396" spans="2:8" ht="15" customHeight="1" x14ac:dyDescent="0.3">
      <c r="B1396" s="105">
        <v>45740</v>
      </c>
      <c r="C1396" s="9" t="s">
        <v>28</v>
      </c>
      <c r="D1396" s="9" t="s">
        <v>8</v>
      </c>
      <c r="E1396" s="57" t="s">
        <v>29</v>
      </c>
      <c r="F1396" s="58"/>
      <c r="G1396" s="58">
        <v>1</v>
      </c>
      <c r="H1396" s="58" t="s">
        <v>10</v>
      </c>
    </row>
    <row r="1397" spans="2:8" ht="15" customHeight="1" x14ac:dyDescent="0.3">
      <c r="B1397" s="105">
        <v>45740</v>
      </c>
      <c r="C1397" s="9" t="s">
        <v>7</v>
      </c>
      <c r="D1397" s="9" t="s">
        <v>8</v>
      </c>
      <c r="E1397" s="57" t="s">
        <v>9</v>
      </c>
      <c r="F1397" s="58"/>
      <c r="G1397" s="58">
        <v>1</v>
      </c>
      <c r="H1397" s="58" t="s">
        <v>10</v>
      </c>
    </row>
    <row r="1398" spans="2:8" ht="15" customHeight="1" x14ac:dyDescent="0.3">
      <c r="B1398" s="105">
        <v>45740</v>
      </c>
      <c r="C1398" s="9" t="s">
        <v>30</v>
      </c>
      <c r="D1398" s="9" t="s">
        <v>8</v>
      </c>
      <c r="E1398" s="57" t="s">
        <v>31</v>
      </c>
      <c r="F1398" s="58"/>
      <c r="G1398" s="58">
        <v>1</v>
      </c>
      <c r="H1398" s="58" t="s">
        <v>10</v>
      </c>
    </row>
    <row r="1399" spans="2:8" ht="15" customHeight="1" x14ac:dyDescent="0.3">
      <c r="B1399" s="105">
        <v>45740</v>
      </c>
      <c r="C1399" s="9" t="s">
        <v>43</v>
      </c>
      <c r="D1399" s="9" t="s">
        <v>20</v>
      </c>
      <c r="E1399" s="57" t="s">
        <v>44</v>
      </c>
      <c r="F1399" s="58"/>
      <c r="G1399" s="58">
        <v>5.8</v>
      </c>
      <c r="H1399" s="58" t="s">
        <v>10</v>
      </c>
    </row>
    <row r="1400" spans="2:8" ht="15" customHeight="1" x14ac:dyDescent="0.3">
      <c r="B1400" s="105">
        <v>45740</v>
      </c>
      <c r="C1400" s="9" t="s">
        <v>73</v>
      </c>
      <c r="D1400" s="9" t="s">
        <v>71</v>
      </c>
      <c r="E1400" s="57" t="s">
        <v>74</v>
      </c>
      <c r="F1400" s="58"/>
      <c r="G1400" s="58">
        <v>1</v>
      </c>
      <c r="H1400" s="58" t="s">
        <v>10</v>
      </c>
    </row>
    <row r="1401" spans="2:8" ht="15" customHeight="1" x14ac:dyDescent="0.3">
      <c r="B1401" s="105">
        <v>45740</v>
      </c>
      <c r="C1401" s="9" t="s">
        <v>77</v>
      </c>
      <c r="D1401" s="9" t="s">
        <v>20</v>
      </c>
      <c r="E1401" s="57" t="s">
        <v>78</v>
      </c>
      <c r="F1401" s="58"/>
      <c r="G1401" s="58">
        <f>0.76-0.65</f>
        <v>0.10999999999999999</v>
      </c>
      <c r="H1401" s="58" t="s">
        <v>10</v>
      </c>
    </row>
    <row r="1402" spans="2:8" ht="15" customHeight="1" x14ac:dyDescent="0.3">
      <c r="B1402" s="105">
        <v>45740</v>
      </c>
      <c r="C1402" s="9" t="s">
        <v>70</v>
      </c>
      <c r="D1402" s="9" t="s">
        <v>71</v>
      </c>
      <c r="E1402" s="57" t="s">
        <v>72</v>
      </c>
      <c r="F1402" s="58"/>
      <c r="G1402" s="58">
        <v>1</v>
      </c>
      <c r="H1402" s="58" t="s">
        <v>10</v>
      </c>
    </row>
    <row r="1403" spans="2:8" ht="15" customHeight="1" x14ac:dyDescent="0.3">
      <c r="B1403" s="105">
        <v>45740</v>
      </c>
      <c r="C1403" s="9" t="s">
        <v>51</v>
      </c>
      <c r="D1403" s="9" t="s">
        <v>20</v>
      </c>
      <c r="E1403" s="57" t="s">
        <v>52</v>
      </c>
      <c r="F1403" s="58"/>
      <c r="G1403" s="58">
        <v>1.8</v>
      </c>
      <c r="H1403" s="58" t="s">
        <v>10</v>
      </c>
    </row>
    <row r="1404" spans="2:8" ht="15" customHeight="1" x14ac:dyDescent="0.3">
      <c r="B1404" s="105">
        <v>45740</v>
      </c>
      <c r="C1404" s="9" t="s">
        <v>57</v>
      </c>
      <c r="D1404" s="9" t="s">
        <v>12</v>
      </c>
      <c r="E1404" s="18" t="s">
        <v>58</v>
      </c>
      <c r="F1404" s="58"/>
      <c r="G1404" s="58">
        <v>96</v>
      </c>
      <c r="H1404" s="58" t="s">
        <v>10</v>
      </c>
    </row>
    <row r="1405" spans="2:8" ht="15" customHeight="1" x14ac:dyDescent="0.3">
      <c r="B1405" s="105">
        <v>45740</v>
      </c>
      <c r="C1405" s="9" t="s">
        <v>127</v>
      </c>
      <c r="D1405" s="9" t="s">
        <v>12</v>
      </c>
      <c r="E1405" s="57" t="s">
        <v>99</v>
      </c>
      <c r="F1405" s="58"/>
      <c r="G1405" s="58">
        <v>2</v>
      </c>
      <c r="H1405" s="58" t="s">
        <v>10</v>
      </c>
    </row>
    <row r="1406" spans="2:8" ht="15" customHeight="1" x14ac:dyDescent="0.3">
      <c r="B1406" s="105">
        <v>45740</v>
      </c>
      <c r="C1406" s="9" t="s">
        <v>61</v>
      </c>
      <c r="D1406" s="9" t="s">
        <v>20</v>
      </c>
      <c r="E1406" s="57" t="s">
        <v>62</v>
      </c>
      <c r="F1406" s="58"/>
      <c r="G1406" s="58">
        <v>1.4</v>
      </c>
      <c r="H1406" s="58" t="s">
        <v>10</v>
      </c>
    </row>
    <row r="1407" spans="2:8" ht="15" customHeight="1" x14ac:dyDescent="0.3">
      <c r="B1407" s="105">
        <v>45740</v>
      </c>
      <c r="C1407" s="9" t="s">
        <v>79</v>
      </c>
      <c r="D1407" s="9" t="s">
        <v>20</v>
      </c>
      <c r="E1407" s="57" t="s">
        <v>82</v>
      </c>
      <c r="F1407" s="58"/>
      <c r="G1407" s="58">
        <v>11.3</v>
      </c>
      <c r="H1407" s="58" t="s">
        <v>10</v>
      </c>
    </row>
    <row r="1408" spans="2:8" ht="15" customHeight="1" x14ac:dyDescent="0.3">
      <c r="B1408" s="105">
        <v>45740</v>
      </c>
      <c r="C1408" s="18" t="s">
        <v>63</v>
      </c>
      <c r="D1408" s="18" t="s">
        <v>20</v>
      </c>
      <c r="E1408" s="18" t="s">
        <v>64</v>
      </c>
      <c r="F1408" s="58">
        <v>0.8</v>
      </c>
      <c r="G1408" s="58"/>
      <c r="H1408" s="58" t="s">
        <v>18</v>
      </c>
    </row>
    <row r="1409" spans="2:8" ht="15" customHeight="1" x14ac:dyDescent="0.3">
      <c r="B1409" s="105">
        <v>45740</v>
      </c>
      <c r="C1409" s="39" t="s">
        <v>83</v>
      </c>
      <c r="D1409" s="9" t="s">
        <v>20</v>
      </c>
      <c r="E1409" s="57" t="s">
        <v>84</v>
      </c>
      <c r="F1409" s="58"/>
      <c r="G1409" s="58">
        <v>5</v>
      </c>
      <c r="H1409" s="58" t="s">
        <v>10</v>
      </c>
    </row>
    <row r="1410" spans="2:8" ht="15" customHeight="1" x14ac:dyDescent="0.3">
      <c r="B1410" s="105">
        <v>45740</v>
      </c>
      <c r="C1410" s="26" t="s">
        <v>101</v>
      </c>
      <c r="D1410" s="9" t="s">
        <v>8</v>
      </c>
      <c r="E1410" s="57" t="s">
        <v>102</v>
      </c>
      <c r="F1410" s="58"/>
      <c r="G1410" s="58">
        <v>1</v>
      </c>
      <c r="H1410" s="58" t="s">
        <v>10</v>
      </c>
    </row>
    <row r="1411" spans="2:8" ht="15" customHeight="1" x14ac:dyDescent="0.3">
      <c r="B1411" s="105">
        <v>45740</v>
      </c>
      <c r="C1411" s="18" t="s">
        <v>115</v>
      </c>
      <c r="D1411" s="9"/>
      <c r="E1411" s="57" t="s">
        <v>116</v>
      </c>
      <c r="F1411" s="58"/>
      <c r="G1411" s="58">
        <v>2</v>
      </c>
      <c r="H1411" s="58" t="s">
        <v>10</v>
      </c>
    </row>
    <row r="1412" spans="2:8" ht="15" customHeight="1" x14ac:dyDescent="0.3">
      <c r="B1412" s="105">
        <v>45740</v>
      </c>
      <c r="C1412" s="9" t="s">
        <v>7</v>
      </c>
      <c r="D1412" s="9" t="s">
        <v>8</v>
      </c>
      <c r="E1412" s="57" t="s">
        <v>9</v>
      </c>
      <c r="F1412" s="58">
        <v>1</v>
      </c>
      <c r="G1412" s="58"/>
      <c r="H1412" s="58" t="s">
        <v>10</v>
      </c>
    </row>
    <row r="1413" spans="2:8" ht="15" customHeight="1" x14ac:dyDescent="0.3">
      <c r="B1413" s="105">
        <v>45740</v>
      </c>
      <c r="C1413" s="9" t="s">
        <v>30</v>
      </c>
      <c r="D1413" s="9" t="s">
        <v>8</v>
      </c>
      <c r="E1413" s="57" t="s">
        <v>31</v>
      </c>
      <c r="F1413" s="58">
        <v>1</v>
      </c>
      <c r="G1413" s="58"/>
      <c r="H1413" s="58" t="s">
        <v>18</v>
      </c>
    </row>
    <row r="1414" spans="2:8" ht="15" customHeight="1" x14ac:dyDescent="0.3">
      <c r="B1414" s="105">
        <v>45741</v>
      </c>
      <c r="C1414" s="18" t="s">
        <v>32</v>
      </c>
      <c r="D1414" s="25" t="s">
        <v>33</v>
      </c>
      <c r="E1414" s="18" t="s">
        <v>34</v>
      </c>
      <c r="F1414" s="58"/>
      <c r="G1414" s="58">
        <v>1</v>
      </c>
      <c r="H1414" s="58" t="s">
        <v>10</v>
      </c>
    </row>
    <row r="1415" spans="2:8" ht="15" customHeight="1" x14ac:dyDescent="0.3">
      <c r="B1415" s="105">
        <v>45741</v>
      </c>
      <c r="C1415" s="18" t="s">
        <v>117</v>
      </c>
      <c r="D1415" s="25" t="s">
        <v>33</v>
      </c>
      <c r="E1415" s="18" t="s">
        <v>118</v>
      </c>
      <c r="F1415" s="58"/>
      <c r="G1415" s="58">
        <v>1</v>
      </c>
      <c r="H1415" s="58" t="s">
        <v>10</v>
      </c>
    </row>
    <row r="1416" spans="2:8" ht="15" customHeight="1" x14ac:dyDescent="0.3">
      <c r="B1416" s="105">
        <v>45741</v>
      </c>
      <c r="C1416" s="18" t="s">
        <v>32</v>
      </c>
      <c r="D1416" s="25" t="s">
        <v>33</v>
      </c>
      <c r="E1416" s="18" t="s">
        <v>34</v>
      </c>
      <c r="F1416" s="58">
        <v>1</v>
      </c>
      <c r="G1416" s="58"/>
      <c r="H1416" s="58" t="s">
        <v>18</v>
      </c>
    </row>
    <row r="1417" spans="2:8" ht="15" customHeight="1" x14ac:dyDescent="0.3">
      <c r="B1417" s="105">
        <v>45741</v>
      </c>
      <c r="C1417" s="18" t="s">
        <v>117</v>
      </c>
      <c r="D1417" s="25" t="s">
        <v>33</v>
      </c>
      <c r="E1417" s="18" t="s">
        <v>118</v>
      </c>
      <c r="F1417" s="58">
        <v>1</v>
      </c>
      <c r="G1417" s="58"/>
      <c r="H1417" s="58" t="s">
        <v>18</v>
      </c>
    </row>
    <row r="1418" spans="2:8" ht="15" customHeight="1" x14ac:dyDescent="0.3">
      <c r="B1418" s="105">
        <v>45741</v>
      </c>
      <c r="C1418" s="9" t="s">
        <v>79</v>
      </c>
      <c r="D1418" s="9" t="s">
        <v>20</v>
      </c>
      <c r="E1418" s="57" t="s">
        <v>82</v>
      </c>
      <c r="F1418" s="58"/>
      <c r="G1418" s="58">
        <v>0.5</v>
      </c>
      <c r="H1418" s="58" t="s">
        <v>10</v>
      </c>
    </row>
    <row r="1419" spans="2:8" ht="15" customHeight="1" x14ac:dyDescent="0.3">
      <c r="B1419" s="105">
        <v>45741</v>
      </c>
      <c r="C1419" s="20" t="s">
        <v>26</v>
      </c>
      <c r="D1419" s="9" t="s">
        <v>20</v>
      </c>
      <c r="E1419" s="18" t="s">
        <v>27</v>
      </c>
      <c r="F1419" s="58"/>
      <c r="G1419" s="58">
        <v>0.5</v>
      </c>
      <c r="H1419" s="58" t="s">
        <v>10</v>
      </c>
    </row>
    <row r="1420" spans="2:8" ht="15" customHeight="1" x14ac:dyDescent="0.3">
      <c r="B1420" s="105">
        <v>45741</v>
      </c>
      <c r="C1420" s="9" t="s">
        <v>151</v>
      </c>
      <c r="D1420" s="9" t="s">
        <v>20</v>
      </c>
      <c r="E1420" s="57" t="s">
        <v>152</v>
      </c>
      <c r="F1420" s="58"/>
      <c r="G1420" s="58">
        <v>0.5</v>
      </c>
      <c r="H1420" s="58" t="s">
        <v>10</v>
      </c>
    </row>
    <row r="1421" spans="2:8" ht="15" customHeight="1" x14ac:dyDescent="0.3">
      <c r="B1421" s="105">
        <v>45742</v>
      </c>
      <c r="C1421" s="9" t="s">
        <v>75</v>
      </c>
      <c r="D1421" s="9" t="s">
        <v>8</v>
      </c>
      <c r="E1421" s="57" t="s">
        <v>76</v>
      </c>
      <c r="F1421" s="58">
        <v>1</v>
      </c>
      <c r="G1421" s="58"/>
      <c r="H1421" s="58" t="s">
        <v>18</v>
      </c>
    </row>
    <row r="1422" spans="2:8" ht="15" customHeight="1" x14ac:dyDescent="0.3">
      <c r="B1422" s="105">
        <v>45742</v>
      </c>
      <c r="C1422" s="9" t="s">
        <v>7</v>
      </c>
      <c r="D1422" s="9" t="s">
        <v>8</v>
      </c>
      <c r="E1422" s="57" t="s">
        <v>9</v>
      </c>
      <c r="F1422" s="58">
        <v>2</v>
      </c>
      <c r="G1422" s="58"/>
      <c r="H1422" s="58" t="s">
        <v>18</v>
      </c>
    </row>
    <row r="1423" spans="2:8" ht="15" customHeight="1" x14ac:dyDescent="0.3">
      <c r="B1423" s="105">
        <v>45742</v>
      </c>
      <c r="C1423" s="9" t="s">
        <v>28</v>
      </c>
      <c r="D1423" s="9" t="s">
        <v>8</v>
      </c>
      <c r="E1423" s="57" t="s">
        <v>29</v>
      </c>
      <c r="F1423" s="58">
        <v>3</v>
      </c>
      <c r="G1423" s="58"/>
      <c r="H1423" s="58" t="s">
        <v>18</v>
      </c>
    </row>
    <row r="1424" spans="2:8" ht="15" customHeight="1" x14ac:dyDescent="0.3">
      <c r="B1424" s="105">
        <v>45742</v>
      </c>
      <c r="C1424" s="26" t="s">
        <v>68</v>
      </c>
      <c r="D1424" s="18" t="s">
        <v>12</v>
      </c>
      <c r="E1424" s="18" t="s">
        <v>69</v>
      </c>
      <c r="F1424" s="58">
        <v>8</v>
      </c>
      <c r="G1424" s="58"/>
      <c r="H1424" s="58" t="s">
        <v>18</v>
      </c>
    </row>
    <row r="1425" spans="2:8" ht="15" customHeight="1" x14ac:dyDescent="0.3">
      <c r="B1425" s="105">
        <v>45742</v>
      </c>
      <c r="C1425" s="9" t="s">
        <v>77</v>
      </c>
      <c r="D1425" s="9" t="s">
        <v>20</v>
      </c>
      <c r="E1425" s="57" t="s">
        <v>78</v>
      </c>
      <c r="F1425" s="58">
        <v>1.5</v>
      </c>
      <c r="G1425" s="58"/>
      <c r="H1425" s="58" t="s">
        <v>18</v>
      </c>
    </row>
    <row r="1426" spans="2:8" ht="15" customHeight="1" x14ac:dyDescent="0.3">
      <c r="B1426" s="105">
        <v>45742</v>
      </c>
      <c r="C1426" s="9" t="s">
        <v>79</v>
      </c>
      <c r="D1426" s="9" t="s">
        <v>20</v>
      </c>
      <c r="E1426" s="57" t="s">
        <v>82</v>
      </c>
      <c r="F1426" s="58"/>
      <c r="G1426" s="58">
        <v>0.64400000000000002</v>
      </c>
      <c r="H1426" s="58" t="s">
        <v>10</v>
      </c>
    </row>
    <row r="1427" spans="2:8" ht="15" customHeight="1" x14ac:dyDescent="0.3">
      <c r="B1427" s="105">
        <v>45742</v>
      </c>
      <c r="C1427" s="9" t="s">
        <v>7</v>
      </c>
      <c r="D1427" s="9" t="s">
        <v>8</v>
      </c>
      <c r="E1427" s="57" t="s">
        <v>9</v>
      </c>
      <c r="F1427" s="58"/>
      <c r="G1427" s="58">
        <v>2</v>
      </c>
      <c r="H1427" s="58" t="s">
        <v>10</v>
      </c>
    </row>
    <row r="1428" spans="2:8" ht="15" customHeight="1" x14ac:dyDescent="0.3">
      <c r="B1428" s="105">
        <v>45742</v>
      </c>
      <c r="C1428" s="9" t="s">
        <v>28</v>
      </c>
      <c r="D1428" s="9" t="s">
        <v>8</v>
      </c>
      <c r="E1428" s="57" t="s">
        <v>29</v>
      </c>
      <c r="F1428" s="58"/>
      <c r="G1428" s="58">
        <v>2</v>
      </c>
      <c r="H1428" s="58" t="s">
        <v>10</v>
      </c>
    </row>
    <row r="1429" spans="2:8" ht="15" customHeight="1" x14ac:dyDescent="0.3">
      <c r="B1429" s="105">
        <v>45743</v>
      </c>
      <c r="C1429" s="9" t="s">
        <v>61</v>
      </c>
      <c r="D1429" s="9" t="s">
        <v>20</v>
      </c>
      <c r="E1429" s="57" t="s">
        <v>62</v>
      </c>
      <c r="F1429" s="58">
        <v>10</v>
      </c>
      <c r="G1429" s="58"/>
      <c r="H1429" s="58" t="s">
        <v>18</v>
      </c>
    </row>
    <row r="1430" spans="2:8" ht="15" customHeight="1" x14ac:dyDescent="0.3">
      <c r="B1430" s="105">
        <v>45743</v>
      </c>
      <c r="C1430" s="9" t="s">
        <v>14</v>
      </c>
      <c r="D1430" s="9" t="s">
        <v>12</v>
      </c>
      <c r="E1430" s="57" t="s">
        <v>15</v>
      </c>
      <c r="F1430" s="58"/>
      <c r="G1430" s="58">
        <v>22</v>
      </c>
      <c r="H1430" s="58" t="s">
        <v>10</v>
      </c>
    </row>
    <row r="1431" spans="2:8" ht="15" customHeight="1" x14ac:dyDescent="0.3">
      <c r="B1431" s="105">
        <v>45743</v>
      </c>
      <c r="C1431" s="9" t="s">
        <v>55</v>
      </c>
      <c r="D1431" s="9" t="s">
        <v>12</v>
      </c>
      <c r="E1431" s="107" t="s">
        <v>56</v>
      </c>
      <c r="F1431" s="58"/>
      <c r="G1431" s="58">
        <v>30</v>
      </c>
      <c r="H1431" s="58" t="s">
        <v>10</v>
      </c>
    </row>
    <row r="1432" spans="2:8" ht="15" customHeight="1" x14ac:dyDescent="0.3">
      <c r="B1432" s="105">
        <v>45743</v>
      </c>
      <c r="C1432" s="9" t="s">
        <v>45</v>
      </c>
      <c r="D1432" s="9" t="s">
        <v>12</v>
      </c>
      <c r="E1432" s="57" t="s">
        <v>59</v>
      </c>
      <c r="F1432" s="58"/>
      <c r="G1432" s="58">
        <v>90</v>
      </c>
      <c r="H1432" s="58" t="s">
        <v>10</v>
      </c>
    </row>
    <row r="1433" spans="2:8" ht="15" customHeight="1" x14ac:dyDescent="0.3">
      <c r="B1433" s="105">
        <v>45743</v>
      </c>
      <c r="C1433" s="9" t="s">
        <v>51</v>
      </c>
      <c r="D1433" s="9" t="s">
        <v>20</v>
      </c>
      <c r="E1433" s="57" t="s">
        <v>52</v>
      </c>
      <c r="F1433" s="58"/>
      <c r="G1433" s="58">
        <v>1.7</v>
      </c>
      <c r="H1433" s="58" t="s">
        <v>10</v>
      </c>
    </row>
    <row r="1434" spans="2:8" ht="15" customHeight="1" x14ac:dyDescent="0.3">
      <c r="B1434" s="105">
        <v>45743</v>
      </c>
      <c r="C1434" s="9" t="s">
        <v>51</v>
      </c>
      <c r="D1434" s="9" t="s">
        <v>20</v>
      </c>
      <c r="E1434" s="57" t="s">
        <v>52</v>
      </c>
      <c r="F1434" s="58">
        <v>2.08</v>
      </c>
      <c r="G1434" s="58"/>
      <c r="H1434" s="58" t="s">
        <v>18</v>
      </c>
    </row>
    <row r="1435" spans="2:8" ht="15" customHeight="1" x14ac:dyDescent="0.3">
      <c r="B1435" s="105">
        <v>45744</v>
      </c>
      <c r="C1435" s="9" t="s">
        <v>7</v>
      </c>
      <c r="D1435" s="9" t="s">
        <v>8</v>
      </c>
      <c r="E1435" s="57" t="s">
        <v>9</v>
      </c>
      <c r="F1435" s="58">
        <v>1</v>
      </c>
      <c r="G1435" s="58"/>
      <c r="H1435" s="58" t="s">
        <v>18</v>
      </c>
    </row>
    <row r="1436" spans="2:8" ht="15" customHeight="1" x14ac:dyDescent="0.3">
      <c r="B1436" s="105">
        <v>45744</v>
      </c>
      <c r="C1436" s="9" t="s">
        <v>28</v>
      </c>
      <c r="D1436" s="9" t="s">
        <v>8</v>
      </c>
      <c r="E1436" s="57" t="s">
        <v>29</v>
      </c>
      <c r="F1436" s="58">
        <v>3</v>
      </c>
      <c r="G1436" s="58"/>
      <c r="H1436" s="58" t="s">
        <v>18</v>
      </c>
    </row>
    <row r="1437" spans="2:8" ht="15" customHeight="1" x14ac:dyDescent="0.3">
      <c r="B1437" s="105">
        <v>45744</v>
      </c>
      <c r="C1437" s="9" t="s">
        <v>73</v>
      </c>
      <c r="D1437" s="9" t="s">
        <v>71</v>
      </c>
      <c r="E1437" s="57" t="s">
        <v>74</v>
      </c>
      <c r="F1437" s="58">
        <v>3</v>
      </c>
      <c r="G1437" s="58"/>
      <c r="H1437" s="58" t="s">
        <v>18</v>
      </c>
    </row>
    <row r="1438" spans="2:8" ht="15" customHeight="1" x14ac:dyDescent="0.3">
      <c r="B1438" s="105">
        <v>45744</v>
      </c>
      <c r="C1438" s="9" t="s">
        <v>70</v>
      </c>
      <c r="D1438" s="9" t="s">
        <v>71</v>
      </c>
      <c r="E1438" s="57" t="s">
        <v>72</v>
      </c>
      <c r="F1438" s="58">
        <v>1</v>
      </c>
      <c r="G1438" s="58"/>
      <c r="H1438" s="58" t="s">
        <v>18</v>
      </c>
    </row>
    <row r="1439" spans="2:8" ht="15" customHeight="1" x14ac:dyDescent="0.3">
      <c r="B1439" s="105">
        <v>45744</v>
      </c>
      <c r="C1439" s="20" t="s">
        <v>26</v>
      </c>
      <c r="D1439" s="9" t="s">
        <v>20</v>
      </c>
      <c r="E1439" s="18" t="s">
        <v>27</v>
      </c>
      <c r="F1439" s="58"/>
      <c r="G1439" s="58">
        <v>0.6</v>
      </c>
      <c r="H1439" s="58" t="s">
        <v>10</v>
      </c>
    </row>
    <row r="1440" spans="2:8" ht="15" customHeight="1" x14ac:dyDescent="0.3">
      <c r="B1440" s="105">
        <v>45744</v>
      </c>
      <c r="C1440" s="18" t="s">
        <v>63</v>
      </c>
      <c r="D1440" s="18" t="s">
        <v>20</v>
      </c>
      <c r="E1440" s="18" t="s">
        <v>64</v>
      </c>
      <c r="F1440" s="58"/>
      <c r="G1440" s="58">
        <v>0.65</v>
      </c>
      <c r="H1440" s="58" t="s">
        <v>10</v>
      </c>
    </row>
    <row r="1441" spans="2:8" ht="15" customHeight="1" x14ac:dyDescent="0.3">
      <c r="B1441" s="105">
        <v>45744</v>
      </c>
      <c r="C1441" s="9" t="s">
        <v>57</v>
      </c>
      <c r="D1441" s="9" t="s">
        <v>12</v>
      </c>
      <c r="E1441" s="57" t="s">
        <v>58</v>
      </c>
      <c r="F1441" s="58"/>
      <c r="G1441" s="58">
        <f>8*10</f>
        <v>80</v>
      </c>
      <c r="H1441" s="58" t="s">
        <v>10</v>
      </c>
    </row>
    <row r="1442" spans="2:8" ht="15" customHeight="1" x14ac:dyDescent="0.3">
      <c r="B1442" s="105">
        <v>45744</v>
      </c>
      <c r="C1442" s="9" t="s">
        <v>7</v>
      </c>
      <c r="D1442" s="9" t="s">
        <v>8</v>
      </c>
      <c r="E1442" s="57" t="s">
        <v>9</v>
      </c>
      <c r="F1442" s="58"/>
      <c r="G1442" s="58">
        <v>2</v>
      </c>
      <c r="H1442" s="58" t="s">
        <v>10</v>
      </c>
    </row>
    <row r="1443" spans="2:8" ht="15" customHeight="1" x14ac:dyDescent="0.3">
      <c r="B1443" s="105">
        <v>45744</v>
      </c>
      <c r="C1443" s="9" t="s">
        <v>28</v>
      </c>
      <c r="D1443" s="9" t="s">
        <v>8</v>
      </c>
      <c r="E1443" s="57" t="s">
        <v>29</v>
      </c>
      <c r="F1443" s="58"/>
      <c r="G1443" s="58">
        <v>3</v>
      </c>
      <c r="H1443" s="58" t="s">
        <v>10</v>
      </c>
    </row>
    <row r="1444" spans="2:8" ht="15" customHeight="1" x14ac:dyDescent="0.3">
      <c r="B1444" s="86">
        <v>45746</v>
      </c>
      <c r="C1444" s="9" t="s">
        <v>55</v>
      </c>
      <c r="D1444" s="9" t="s">
        <v>12</v>
      </c>
      <c r="E1444" s="107" t="s">
        <v>56</v>
      </c>
      <c r="F1444" s="58"/>
      <c r="G1444" s="58">
        <v>60</v>
      </c>
      <c r="H1444" s="58" t="s">
        <v>10</v>
      </c>
    </row>
    <row r="1445" spans="2:8" ht="15" customHeight="1" x14ac:dyDescent="0.3">
      <c r="B1445" s="86">
        <v>45746</v>
      </c>
      <c r="C1445" s="9" t="s">
        <v>79</v>
      </c>
      <c r="D1445" s="9" t="s">
        <v>20</v>
      </c>
      <c r="E1445" s="57" t="s">
        <v>82</v>
      </c>
      <c r="F1445" s="58"/>
      <c r="G1445" s="58">
        <v>0.9</v>
      </c>
      <c r="H1445" s="58" t="s">
        <v>10</v>
      </c>
    </row>
    <row r="1446" spans="2:8" ht="15" customHeight="1" x14ac:dyDescent="0.3">
      <c r="B1446" s="86">
        <v>45746</v>
      </c>
      <c r="C1446" s="9" t="s">
        <v>7</v>
      </c>
      <c r="D1446" s="9" t="s">
        <v>8</v>
      </c>
      <c r="E1446" s="57" t="s">
        <v>9</v>
      </c>
      <c r="F1446" s="58">
        <v>3</v>
      </c>
      <c r="G1446" s="58"/>
      <c r="H1446" s="58" t="s">
        <v>18</v>
      </c>
    </row>
    <row r="1447" spans="2:8" ht="15" customHeight="1" x14ac:dyDescent="0.3">
      <c r="B1447" s="86">
        <v>45746</v>
      </c>
      <c r="C1447" s="9" t="s">
        <v>28</v>
      </c>
      <c r="D1447" s="9" t="s">
        <v>8</v>
      </c>
      <c r="E1447" s="57" t="s">
        <v>29</v>
      </c>
      <c r="F1447" s="58">
        <v>3</v>
      </c>
      <c r="G1447" s="58"/>
      <c r="H1447" s="58" t="s">
        <v>18</v>
      </c>
    </row>
    <row r="1448" spans="2:8" ht="15" customHeight="1" x14ac:dyDescent="0.3">
      <c r="B1448" s="86">
        <v>45746</v>
      </c>
      <c r="C1448" s="9" t="s">
        <v>75</v>
      </c>
      <c r="D1448" s="9" t="s">
        <v>8</v>
      </c>
      <c r="E1448" s="57" t="s">
        <v>76</v>
      </c>
      <c r="F1448" s="58">
        <v>1</v>
      </c>
      <c r="G1448" s="58"/>
      <c r="H1448" s="58" t="s">
        <v>18</v>
      </c>
    </row>
    <row r="1449" spans="2:8" ht="15" customHeight="1" x14ac:dyDescent="0.3">
      <c r="B1449" s="86">
        <v>45746</v>
      </c>
      <c r="C1449" s="9" t="s">
        <v>30</v>
      </c>
      <c r="D1449" s="9" t="s">
        <v>8</v>
      </c>
      <c r="E1449" s="57" t="s">
        <v>31</v>
      </c>
      <c r="F1449" s="58">
        <v>1</v>
      </c>
      <c r="G1449" s="58"/>
      <c r="H1449" s="58" t="s">
        <v>18</v>
      </c>
    </row>
    <row r="1450" spans="2:8" ht="15" customHeight="1" x14ac:dyDescent="0.3">
      <c r="B1450" s="86">
        <v>45746</v>
      </c>
      <c r="C1450" s="9" t="s">
        <v>39</v>
      </c>
      <c r="D1450" s="9" t="s">
        <v>20</v>
      </c>
      <c r="E1450" s="57" t="s">
        <v>40</v>
      </c>
      <c r="F1450" s="58">
        <v>15</v>
      </c>
      <c r="G1450" s="58"/>
      <c r="H1450" s="58" t="s">
        <v>18</v>
      </c>
    </row>
    <row r="1451" spans="2:8" ht="15" customHeight="1" x14ac:dyDescent="0.3">
      <c r="B1451" s="86">
        <v>45746</v>
      </c>
      <c r="C1451" s="9" t="s">
        <v>41</v>
      </c>
      <c r="D1451" s="9" t="s">
        <v>20</v>
      </c>
      <c r="E1451" s="57" t="s">
        <v>42</v>
      </c>
      <c r="F1451" s="58">
        <v>15</v>
      </c>
      <c r="G1451" s="58"/>
      <c r="H1451" s="58" t="s">
        <v>18</v>
      </c>
    </row>
    <row r="1452" spans="2:8" ht="15" customHeight="1" x14ac:dyDescent="0.3">
      <c r="B1452" s="86">
        <v>45746</v>
      </c>
      <c r="C1452" s="9" t="s">
        <v>7</v>
      </c>
      <c r="D1452" s="9" t="s">
        <v>8</v>
      </c>
      <c r="E1452" s="57" t="s">
        <v>9</v>
      </c>
      <c r="F1452" s="58"/>
      <c r="G1452" s="58">
        <v>1</v>
      </c>
      <c r="H1452" s="58" t="s">
        <v>10</v>
      </c>
    </row>
    <row r="1453" spans="2:8" ht="15" customHeight="1" x14ac:dyDescent="0.3">
      <c r="B1453" s="86">
        <v>45746</v>
      </c>
      <c r="C1453" s="9" t="s">
        <v>28</v>
      </c>
      <c r="D1453" s="9" t="s">
        <v>8</v>
      </c>
      <c r="E1453" s="57" t="s">
        <v>29</v>
      </c>
      <c r="F1453" s="58"/>
      <c r="G1453" s="58">
        <v>1</v>
      </c>
      <c r="H1453" s="58" t="s">
        <v>10</v>
      </c>
    </row>
    <row r="1454" spans="2:8" ht="15" customHeight="1" x14ac:dyDescent="0.3">
      <c r="B1454" s="86">
        <v>45746</v>
      </c>
      <c r="C1454" s="9" t="s">
        <v>30</v>
      </c>
      <c r="D1454" s="9" t="s">
        <v>8</v>
      </c>
      <c r="E1454" s="57" t="s">
        <v>31</v>
      </c>
      <c r="F1454" s="58"/>
      <c r="G1454" s="58">
        <v>1</v>
      </c>
      <c r="H1454" s="58" t="s">
        <v>10</v>
      </c>
    </row>
    <row r="1455" spans="2:8" ht="15" customHeight="1" x14ac:dyDescent="0.3">
      <c r="B1455" s="86">
        <v>45747</v>
      </c>
      <c r="C1455" s="9" t="s">
        <v>45</v>
      </c>
      <c r="D1455" s="9" t="s">
        <v>12</v>
      </c>
      <c r="E1455" s="57" t="s">
        <v>59</v>
      </c>
      <c r="F1455" s="58"/>
      <c r="G1455" s="58">
        <v>30</v>
      </c>
      <c r="H1455" s="58" t="s">
        <v>10</v>
      </c>
    </row>
    <row r="1456" spans="2:8" ht="15" customHeight="1" x14ac:dyDescent="0.3">
      <c r="B1456" s="86">
        <v>45747</v>
      </c>
      <c r="C1456" s="9" t="s">
        <v>14</v>
      </c>
      <c r="D1456" s="9" t="s">
        <v>12</v>
      </c>
      <c r="E1456" s="57" t="s">
        <v>15</v>
      </c>
      <c r="F1456" s="58"/>
      <c r="G1456" s="58">
        <v>23</v>
      </c>
      <c r="H1456" s="58" t="s">
        <v>10</v>
      </c>
    </row>
    <row r="1457" spans="2:8" ht="15" customHeight="1" x14ac:dyDescent="0.3">
      <c r="B1457" s="86">
        <v>45747</v>
      </c>
      <c r="C1457" s="9" t="s">
        <v>11</v>
      </c>
      <c r="D1457" s="9" t="s">
        <v>12</v>
      </c>
      <c r="E1457" s="57" t="s">
        <v>13</v>
      </c>
      <c r="F1457" s="58"/>
      <c r="G1457" s="58">
        <v>18</v>
      </c>
      <c r="H1457" s="58" t="s">
        <v>10</v>
      </c>
    </row>
    <row r="1458" spans="2:8" ht="15" customHeight="1" x14ac:dyDescent="0.3">
      <c r="B1458" s="86">
        <v>45747</v>
      </c>
      <c r="C1458" s="8" t="s">
        <v>93</v>
      </c>
      <c r="D1458" s="9" t="s">
        <v>12</v>
      </c>
      <c r="E1458" s="18" t="s">
        <v>94</v>
      </c>
      <c r="F1458" s="58"/>
      <c r="G1458" s="58">
        <v>15</v>
      </c>
      <c r="H1458" s="58" t="s">
        <v>10</v>
      </c>
    </row>
    <row r="1459" spans="2:8" ht="15" customHeight="1" x14ac:dyDescent="0.3">
      <c r="B1459" s="86">
        <v>45747</v>
      </c>
      <c r="C1459" s="42" t="s">
        <v>106</v>
      </c>
      <c r="D1459" s="18" t="s">
        <v>12</v>
      </c>
      <c r="E1459" s="18" t="s">
        <v>107</v>
      </c>
      <c r="F1459" s="58">
        <v>1</v>
      </c>
      <c r="G1459" s="58"/>
      <c r="H1459" s="58" t="s">
        <v>18</v>
      </c>
    </row>
    <row r="1460" spans="2:8" ht="15" customHeight="1" x14ac:dyDescent="0.3">
      <c r="B1460" s="86">
        <v>45747</v>
      </c>
      <c r="C1460" s="18" t="s">
        <v>63</v>
      </c>
      <c r="D1460" s="18" t="s">
        <v>20</v>
      </c>
      <c r="E1460" s="18" t="s">
        <v>64</v>
      </c>
      <c r="F1460" s="58"/>
      <c r="G1460" s="58">
        <v>0.45</v>
      </c>
      <c r="H1460" s="58" t="s">
        <v>10</v>
      </c>
    </row>
    <row r="1461" spans="2:8" ht="15" customHeight="1" x14ac:dyDescent="0.3">
      <c r="B1461" s="86">
        <v>45747</v>
      </c>
      <c r="C1461" s="20" t="s">
        <v>26</v>
      </c>
      <c r="D1461" s="9" t="s">
        <v>20</v>
      </c>
      <c r="E1461" s="18" t="s">
        <v>27</v>
      </c>
      <c r="F1461" s="58"/>
      <c r="G1461" s="58">
        <v>0.6</v>
      </c>
      <c r="H1461" s="58" t="s">
        <v>10</v>
      </c>
    </row>
    <row r="1462" spans="2:8" ht="15" customHeight="1" x14ac:dyDescent="0.3">
      <c r="B1462" s="86">
        <v>45747</v>
      </c>
      <c r="C1462" s="9" t="s">
        <v>151</v>
      </c>
      <c r="D1462" s="9" t="s">
        <v>20</v>
      </c>
      <c r="E1462" s="57" t="s">
        <v>152</v>
      </c>
      <c r="F1462" s="58"/>
      <c r="G1462" s="58">
        <v>1</v>
      </c>
      <c r="H1462" s="58" t="s">
        <v>10</v>
      </c>
    </row>
    <row r="1463" spans="2:8" ht="15" customHeight="1" x14ac:dyDescent="0.3">
      <c r="B1463" s="86">
        <v>45747</v>
      </c>
      <c r="C1463" s="9" t="s">
        <v>79</v>
      </c>
      <c r="D1463" s="9" t="s">
        <v>20</v>
      </c>
      <c r="E1463" s="57" t="s">
        <v>82</v>
      </c>
      <c r="F1463" s="58"/>
      <c r="G1463" s="58">
        <v>1.1000000000000001</v>
      </c>
      <c r="H1463" s="58" t="s">
        <v>10</v>
      </c>
    </row>
    <row r="1464" spans="2:8" ht="15" customHeight="1" x14ac:dyDescent="0.3">
      <c r="B1464" s="86">
        <v>45747</v>
      </c>
      <c r="C1464" s="9" t="s">
        <v>75</v>
      </c>
      <c r="D1464" s="9" t="s">
        <v>8</v>
      </c>
      <c r="E1464" s="57" t="s">
        <v>76</v>
      </c>
      <c r="F1464" s="58"/>
      <c r="G1464" s="58">
        <v>1</v>
      </c>
      <c r="H1464" s="58" t="s">
        <v>10</v>
      </c>
    </row>
    <row r="1465" spans="2:8" ht="15" customHeight="1" x14ac:dyDescent="0.3">
      <c r="B1465" s="86">
        <v>45747</v>
      </c>
      <c r="C1465" s="9" t="s">
        <v>28</v>
      </c>
      <c r="D1465" s="9" t="s">
        <v>8</v>
      </c>
      <c r="E1465" s="57" t="s">
        <v>29</v>
      </c>
      <c r="F1465" s="58"/>
      <c r="G1465" s="58">
        <v>1</v>
      </c>
      <c r="H1465" s="58" t="s">
        <v>10</v>
      </c>
    </row>
    <row r="1466" spans="2:8" ht="15" customHeight="1" x14ac:dyDescent="0.3">
      <c r="B1466" s="86">
        <v>45747</v>
      </c>
      <c r="C1466" s="8" t="s">
        <v>93</v>
      </c>
      <c r="D1466" s="9" t="s">
        <v>12</v>
      </c>
      <c r="E1466" s="18" t="s">
        <v>94</v>
      </c>
      <c r="F1466" s="58">
        <v>10</v>
      </c>
      <c r="G1466" s="58"/>
      <c r="H1466" s="58" t="s">
        <v>18</v>
      </c>
    </row>
    <row r="1467" spans="2:8" ht="15" customHeight="1" x14ac:dyDescent="0.3">
      <c r="B1467" s="86">
        <v>45748</v>
      </c>
      <c r="C1467" s="9" t="s">
        <v>79</v>
      </c>
      <c r="D1467" s="9" t="s">
        <v>20</v>
      </c>
      <c r="E1467" s="57" t="s">
        <v>82</v>
      </c>
      <c r="F1467" s="58"/>
      <c r="G1467" s="58">
        <v>1</v>
      </c>
      <c r="H1467" s="58" t="s">
        <v>10</v>
      </c>
    </row>
    <row r="1468" spans="2:8" ht="15" customHeight="1" x14ac:dyDescent="0.3">
      <c r="B1468" s="86">
        <v>45748</v>
      </c>
      <c r="C1468" s="18" t="s">
        <v>63</v>
      </c>
      <c r="D1468" s="18" t="s">
        <v>20</v>
      </c>
      <c r="E1468" s="18" t="s">
        <v>64</v>
      </c>
      <c r="F1468" s="58"/>
      <c r="G1468" s="58">
        <v>0.7</v>
      </c>
      <c r="H1468" s="58" t="s">
        <v>10</v>
      </c>
    </row>
    <row r="1469" spans="2:8" ht="15" customHeight="1" x14ac:dyDescent="0.3">
      <c r="B1469" s="86">
        <v>45748</v>
      </c>
      <c r="C1469" s="9" t="s">
        <v>28</v>
      </c>
      <c r="D1469" s="9" t="s">
        <v>8</v>
      </c>
      <c r="E1469" s="57" t="s">
        <v>29</v>
      </c>
      <c r="F1469" s="58"/>
      <c r="G1469" s="58">
        <v>2</v>
      </c>
      <c r="H1469" s="58" t="s">
        <v>10</v>
      </c>
    </row>
    <row r="1470" spans="2:8" ht="15" customHeight="1" x14ac:dyDescent="0.3">
      <c r="B1470" s="86">
        <v>45749</v>
      </c>
      <c r="C1470" s="9" t="s">
        <v>51</v>
      </c>
      <c r="D1470" s="9" t="s">
        <v>20</v>
      </c>
      <c r="E1470" s="57" t="s">
        <v>52</v>
      </c>
      <c r="F1470" s="58">
        <v>3</v>
      </c>
      <c r="G1470" s="58"/>
      <c r="H1470" s="58" t="s">
        <v>18</v>
      </c>
    </row>
    <row r="1471" spans="2:8" ht="15" customHeight="1" x14ac:dyDescent="0.3">
      <c r="B1471" s="86">
        <v>45749</v>
      </c>
      <c r="C1471" s="9" t="s">
        <v>28</v>
      </c>
      <c r="D1471" s="9" t="s">
        <v>8</v>
      </c>
      <c r="E1471" s="57" t="s">
        <v>29</v>
      </c>
      <c r="F1471" s="58">
        <v>3</v>
      </c>
      <c r="G1471" s="58"/>
      <c r="H1471" s="58" t="s">
        <v>18</v>
      </c>
    </row>
    <row r="1472" spans="2:8" ht="15" customHeight="1" x14ac:dyDescent="0.3">
      <c r="B1472" s="86">
        <v>45749</v>
      </c>
      <c r="C1472" s="9" t="s">
        <v>30</v>
      </c>
      <c r="D1472" s="9" t="s">
        <v>8</v>
      </c>
      <c r="E1472" s="57" t="s">
        <v>31</v>
      </c>
      <c r="F1472" s="58">
        <v>1</v>
      </c>
      <c r="G1472" s="58"/>
      <c r="H1472" s="58" t="s">
        <v>18</v>
      </c>
    </row>
    <row r="1473" spans="2:8" ht="15" customHeight="1" x14ac:dyDescent="0.3">
      <c r="B1473" s="86">
        <v>45749</v>
      </c>
      <c r="C1473" s="9" t="s">
        <v>7</v>
      </c>
      <c r="D1473" s="9" t="s">
        <v>8</v>
      </c>
      <c r="E1473" s="57" t="s">
        <v>9</v>
      </c>
      <c r="F1473" s="58">
        <v>2</v>
      </c>
      <c r="G1473" s="58"/>
      <c r="H1473" s="58" t="s">
        <v>18</v>
      </c>
    </row>
    <row r="1474" spans="2:8" ht="15" customHeight="1" x14ac:dyDescent="0.3">
      <c r="B1474" s="86">
        <v>45749</v>
      </c>
      <c r="C1474" s="20" t="s">
        <v>189</v>
      </c>
      <c r="D1474" s="18" t="s">
        <v>12</v>
      </c>
      <c r="E1474" s="18" t="s">
        <v>92</v>
      </c>
      <c r="F1474" s="58">
        <v>12</v>
      </c>
      <c r="G1474" s="58"/>
      <c r="H1474" s="58" t="s">
        <v>18</v>
      </c>
    </row>
    <row r="1475" spans="2:8" ht="15" customHeight="1" x14ac:dyDescent="0.3">
      <c r="B1475" s="86">
        <v>45749</v>
      </c>
      <c r="C1475" s="9" t="s">
        <v>79</v>
      </c>
      <c r="D1475" s="9" t="s">
        <v>20</v>
      </c>
      <c r="E1475" s="57" t="s">
        <v>82</v>
      </c>
      <c r="F1475" s="58"/>
      <c r="G1475" s="58">
        <v>1</v>
      </c>
      <c r="H1475" s="58" t="s">
        <v>10</v>
      </c>
    </row>
    <row r="1476" spans="2:8" ht="15" customHeight="1" x14ac:dyDescent="0.3">
      <c r="B1476" s="86">
        <v>45749</v>
      </c>
      <c r="C1476" s="90" t="s">
        <v>28</v>
      </c>
      <c r="D1476" s="91" t="s">
        <v>8</v>
      </c>
      <c r="E1476" s="92" t="s">
        <v>29</v>
      </c>
      <c r="F1476" s="58"/>
      <c r="G1476" s="58">
        <v>3</v>
      </c>
      <c r="H1476" s="58" t="s">
        <v>10</v>
      </c>
    </row>
    <row r="1477" spans="2:8" ht="15" customHeight="1" x14ac:dyDescent="0.3">
      <c r="B1477" s="86">
        <v>45749</v>
      </c>
      <c r="C1477" s="95" t="s">
        <v>30</v>
      </c>
      <c r="D1477" s="96" t="s">
        <v>8</v>
      </c>
      <c r="E1477" s="97" t="s">
        <v>31</v>
      </c>
      <c r="F1477" s="58"/>
      <c r="G1477" s="58">
        <v>1</v>
      </c>
      <c r="H1477" s="58" t="s">
        <v>10</v>
      </c>
    </row>
    <row r="1478" spans="2:8" ht="15" customHeight="1" x14ac:dyDescent="0.3">
      <c r="B1478" s="86">
        <v>45749</v>
      </c>
      <c r="C1478" s="95" t="s">
        <v>7</v>
      </c>
      <c r="D1478" s="96" t="s">
        <v>8</v>
      </c>
      <c r="E1478" s="97" t="s">
        <v>9</v>
      </c>
      <c r="F1478" s="58"/>
      <c r="G1478" s="58">
        <v>3</v>
      </c>
      <c r="H1478" s="58" t="s">
        <v>10</v>
      </c>
    </row>
    <row r="1479" spans="2:8" ht="15" customHeight="1" x14ac:dyDescent="0.3">
      <c r="B1479" s="86">
        <v>45749</v>
      </c>
      <c r="C1479" s="9" t="s">
        <v>70</v>
      </c>
      <c r="D1479" s="9" t="s">
        <v>71</v>
      </c>
      <c r="E1479" s="57" t="s">
        <v>72</v>
      </c>
      <c r="F1479" s="58">
        <v>1</v>
      </c>
      <c r="G1479" s="58"/>
      <c r="H1479" s="58" t="s">
        <v>18</v>
      </c>
    </row>
    <row r="1480" spans="2:8" ht="15" customHeight="1" x14ac:dyDescent="0.3">
      <c r="B1480" s="86">
        <v>45749</v>
      </c>
      <c r="C1480" s="9" t="s">
        <v>77</v>
      </c>
      <c r="D1480" s="9" t="s">
        <v>20</v>
      </c>
      <c r="E1480" s="57" t="s">
        <v>78</v>
      </c>
      <c r="F1480" s="58">
        <v>1.9</v>
      </c>
      <c r="G1480" s="58"/>
      <c r="H1480" s="58" t="s">
        <v>18</v>
      </c>
    </row>
    <row r="1481" spans="2:8" ht="15" customHeight="1" x14ac:dyDescent="0.3">
      <c r="B1481" s="86">
        <v>45749</v>
      </c>
      <c r="C1481" s="9" t="s">
        <v>28</v>
      </c>
      <c r="D1481" s="9" t="s">
        <v>8</v>
      </c>
      <c r="E1481" s="57" t="s">
        <v>29</v>
      </c>
      <c r="F1481" s="58">
        <v>3</v>
      </c>
      <c r="G1481" s="58"/>
      <c r="H1481" s="58" t="s">
        <v>18</v>
      </c>
    </row>
    <row r="1482" spans="2:8" ht="15" customHeight="1" x14ac:dyDescent="0.3">
      <c r="B1482" s="86">
        <v>45749</v>
      </c>
      <c r="C1482" s="9" t="s">
        <v>30</v>
      </c>
      <c r="D1482" s="9" t="s">
        <v>8</v>
      </c>
      <c r="E1482" s="57" t="s">
        <v>31</v>
      </c>
      <c r="F1482" s="58">
        <v>1</v>
      </c>
      <c r="G1482" s="58"/>
      <c r="H1482" s="58" t="s">
        <v>18</v>
      </c>
    </row>
    <row r="1483" spans="2:8" ht="15" customHeight="1" x14ac:dyDescent="0.3">
      <c r="B1483" s="86">
        <v>45749</v>
      </c>
      <c r="C1483" s="9" t="s">
        <v>7</v>
      </c>
      <c r="D1483" s="9" t="s">
        <v>8</v>
      </c>
      <c r="E1483" s="57" t="s">
        <v>9</v>
      </c>
      <c r="F1483" s="58">
        <v>3</v>
      </c>
      <c r="G1483" s="58"/>
      <c r="H1483" s="58" t="s">
        <v>18</v>
      </c>
    </row>
    <row r="1484" spans="2:8" ht="15" customHeight="1" x14ac:dyDescent="0.3">
      <c r="B1484" s="86">
        <v>45749</v>
      </c>
      <c r="C1484" s="9" t="s">
        <v>61</v>
      </c>
      <c r="D1484" s="9" t="s">
        <v>20</v>
      </c>
      <c r="E1484" s="57" t="s">
        <v>62</v>
      </c>
      <c r="F1484" s="58">
        <v>10</v>
      </c>
      <c r="G1484" s="58"/>
      <c r="H1484" s="58" t="s">
        <v>18</v>
      </c>
    </row>
    <row r="1485" spans="2:8" ht="15" customHeight="1" x14ac:dyDescent="0.3">
      <c r="B1485" s="86">
        <v>45749</v>
      </c>
      <c r="C1485" s="9" t="s">
        <v>79</v>
      </c>
      <c r="D1485" s="9" t="s">
        <v>20</v>
      </c>
      <c r="E1485" s="57" t="s">
        <v>82</v>
      </c>
      <c r="F1485" s="58">
        <v>20</v>
      </c>
      <c r="G1485" s="58"/>
      <c r="H1485" s="58" t="s">
        <v>18</v>
      </c>
    </row>
    <row r="1486" spans="2:8" ht="15" customHeight="1" x14ac:dyDescent="0.3">
      <c r="B1486" s="86">
        <v>45749</v>
      </c>
      <c r="C1486" s="9" t="s">
        <v>51</v>
      </c>
      <c r="D1486" s="9" t="s">
        <v>20</v>
      </c>
      <c r="E1486" s="57" t="s">
        <v>52</v>
      </c>
      <c r="F1486" s="58">
        <v>4</v>
      </c>
      <c r="G1486" s="58"/>
      <c r="H1486" s="58" t="s">
        <v>18</v>
      </c>
    </row>
    <row r="1487" spans="2:8" ht="15" customHeight="1" x14ac:dyDescent="0.3">
      <c r="B1487" s="86">
        <v>45749</v>
      </c>
      <c r="C1487" s="20" t="s">
        <v>188</v>
      </c>
      <c r="D1487" s="18" t="s">
        <v>12</v>
      </c>
      <c r="E1487" s="18" t="s">
        <v>92</v>
      </c>
      <c r="F1487" s="58">
        <v>48</v>
      </c>
      <c r="G1487" s="58"/>
      <c r="H1487" s="58" t="s">
        <v>18</v>
      </c>
    </row>
    <row r="1488" spans="2:8" ht="15" customHeight="1" x14ac:dyDescent="0.3">
      <c r="B1488" s="86">
        <v>45749</v>
      </c>
      <c r="C1488" s="26" t="s">
        <v>68</v>
      </c>
      <c r="D1488" s="18" t="s">
        <v>12</v>
      </c>
      <c r="E1488" s="18" t="s">
        <v>69</v>
      </c>
      <c r="F1488" s="58">
        <v>8</v>
      </c>
      <c r="G1488" s="58"/>
      <c r="H1488" s="58" t="s">
        <v>18</v>
      </c>
    </row>
    <row r="1489" spans="2:8" ht="15" customHeight="1" x14ac:dyDescent="0.3">
      <c r="B1489" s="86">
        <v>45749</v>
      </c>
      <c r="C1489" s="9" t="s">
        <v>14</v>
      </c>
      <c r="D1489" s="18" t="s">
        <v>12</v>
      </c>
      <c r="E1489" s="57" t="s">
        <v>15</v>
      </c>
      <c r="F1489" s="58"/>
      <c r="G1489" s="58">
        <v>23</v>
      </c>
      <c r="H1489" s="58" t="s">
        <v>10</v>
      </c>
    </row>
    <row r="1490" spans="2:8" ht="15" customHeight="1" x14ac:dyDescent="0.3">
      <c r="B1490" s="86">
        <v>45749</v>
      </c>
      <c r="C1490" s="9" t="s">
        <v>45</v>
      </c>
      <c r="D1490" s="18" t="s">
        <v>12</v>
      </c>
      <c r="E1490" s="57" t="s">
        <v>59</v>
      </c>
      <c r="F1490" s="58"/>
      <c r="G1490" s="58">
        <v>60</v>
      </c>
      <c r="H1490" s="58" t="s">
        <v>10</v>
      </c>
    </row>
    <row r="1491" spans="2:8" ht="15" customHeight="1" x14ac:dyDescent="0.3">
      <c r="B1491" s="86">
        <v>45749</v>
      </c>
      <c r="C1491" s="9" t="s">
        <v>57</v>
      </c>
      <c r="D1491" s="18" t="s">
        <v>12</v>
      </c>
      <c r="E1491" s="57" t="s">
        <v>58</v>
      </c>
      <c r="F1491" s="58"/>
      <c r="G1491" s="58">
        <v>80</v>
      </c>
      <c r="H1491" s="58" t="s">
        <v>10</v>
      </c>
    </row>
    <row r="1492" spans="2:8" ht="15" customHeight="1" x14ac:dyDescent="0.3">
      <c r="B1492" s="86">
        <v>45749</v>
      </c>
      <c r="C1492" s="95" t="s">
        <v>30</v>
      </c>
      <c r="D1492" s="96" t="s">
        <v>8</v>
      </c>
      <c r="E1492" s="97" t="s">
        <v>31</v>
      </c>
      <c r="F1492" s="58"/>
      <c r="G1492" s="58">
        <v>1</v>
      </c>
      <c r="H1492" s="58" t="s">
        <v>10</v>
      </c>
    </row>
    <row r="1493" spans="2:8" ht="15" customHeight="1" x14ac:dyDescent="0.3">
      <c r="B1493" s="86">
        <v>45749</v>
      </c>
      <c r="C1493" s="9" t="s">
        <v>28</v>
      </c>
      <c r="D1493" s="9" t="s">
        <v>8</v>
      </c>
      <c r="E1493" s="57" t="s">
        <v>29</v>
      </c>
      <c r="F1493" s="58"/>
      <c r="G1493" s="58">
        <v>1</v>
      </c>
      <c r="H1493" s="58" t="s">
        <v>10</v>
      </c>
    </row>
    <row r="1494" spans="2:8" ht="15" customHeight="1" x14ac:dyDescent="0.3">
      <c r="B1494" s="86">
        <v>45749</v>
      </c>
      <c r="C1494" s="9" t="s">
        <v>7</v>
      </c>
      <c r="D1494" s="9" t="s">
        <v>8</v>
      </c>
      <c r="E1494" s="57" t="s">
        <v>9</v>
      </c>
      <c r="F1494" s="58"/>
      <c r="G1494" s="58">
        <v>1</v>
      </c>
      <c r="H1494" s="58" t="s">
        <v>10</v>
      </c>
    </row>
    <row r="1495" spans="2:8" ht="15" customHeight="1" x14ac:dyDescent="0.3">
      <c r="B1495" s="86">
        <v>45749</v>
      </c>
      <c r="C1495" s="9" t="s">
        <v>43</v>
      </c>
      <c r="D1495" s="9" t="s">
        <v>20</v>
      </c>
      <c r="E1495" s="57" t="s">
        <v>44</v>
      </c>
      <c r="F1495" s="58"/>
      <c r="G1495" s="58">
        <f>21-4</f>
        <v>17</v>
      </c>
      <c r="H1495" s="58" t="s">
        <v>10</v>
      </c>
    </row>
    <row r="1496" spans="2:8" ht="15" customHeight="1" x14ac:dyDescent="0.3">
      <c r="B1496" s="86">
        <v>45749</v>
      </c>
      <c r="C1496" s="9" t="s">
        <v>77</v>
      </c>
      <c r="D1496" s="9" t="s">
        <v>20</v>
      </c>
      <c r="E1496" s="57" t="s">
        <v>78</v>
      </c>
      <c r="F1496" s="58"/>
      <c r="G1496" s="58">
        <v>1.4</v>
      </c>
      <c r="H1496" s="58" t="s">
        <v>10</v>
      </c>
    </row>
    <row r="1497" spans="2:8" ht="15" customHeight="1" x14ac:dyDescent="0.3">
      <c r="B1497" s="86">
        <v>45749</v>
      </c>
      <c r="C1497" s="9" t="s">
        <v>73</v>
      </c>
      <c r="D1497" s="9" t="s">
        <v>71</v>
      </c>
      <c r="E1497" s="57" t="s">
        <v>74</v>
      </c>
      <c r="F1497" s="58"/>
      <c r="G1497" s="58">
        <v>3</v>
      </c>
      <c r="H1497" s="58" t="s">
        <v>10</v>
      </c>
    </row>
    <row r="1498" spans="2:8" ht="15" customHeight="1" x14ac:dyDescent="0.3">
      <c r="B1498" s="86">
        <v>45749</v>
      </c>
      <c r="C1498" s="9" t="s">
        <v>70</v>
      </c>
      <c r="D1498" s="9" t="s">
        <v>71</v>
      </c>
      <c r="E1498" s="57" t="s">
        <v>72</v>
      </c>
      <c r="F1498" s="58"/>
      <c r="G1498" s="58">
        <v>1</v>
      </c>
      <c r="H1498" s="58" t="s">
        <v>10</v>
      </c>
    </row>
    <row r="1499" spans="2:8" ht="15" customHeight="1" x14ac:dyDescent="0.3">
      <c r="B1499" s="86">
        <v>45749</v>
      </c>
      <c r="C1499" s="9" t="s">
        <v>39</v>
      </c>
      <c r="D1499" s="9" t="s">
        <v>20</v>
      </c>
      <c r="E1499" s="57" t="s">
        <v>40</v>
      </c>
      <c r="F1499" s="58"/>
      <c r="G1499" s="58">
        <f>22-8</f>
        <v>14</v>
      </c>
      <c r="H1499" s="58" t="s">
        <v>10</v>
      </c>
    </row>
    <row r="1500" spans="2:8" ht="15" customHeight="1" x14ac:dyDescent="0.3">
      <c r="B1500" s="86">
        <v>45749</v>
      </c>
      <c r="C1500" s="9" t="s">
        <v>41</v>
      </c>
      <c r="D1500" s="9" t="s">
        <v>20</v>
      </c>
      <c r="E1500" s="57" t="s">
        <v>42</v>
      </c>
      <c r="F1500" s="58"/>
      <c r="G1500" s="58">
        <v>14</v>
      </c>
      <c r="H1500" s="58" t="s">
        <v>10</v>
      </c>
    </row>
    <row r="1501" spans="2:8" ht="15" customHeight="1" x14ac:dyDescent="0.3">
      <c r="B1501" s="86">
        <v>45749</v>
      </c>
      <c r="C1501" s="9" t="s">
        <v>51</v>
      </c>
      <c r="D1501" s="9" t="s">
        <v>20</v>
      </c>
      <c r="E1501" s="57" t="s">
        <v>52</v>
      </c>
      <c r="F1501" s="58"/>
      <c r="G1501" s="58">
        <v>6</v>
      </c>
      <c r="H1501" s="58" t="s">
        <v>10</v>
      </c>
    </row>
    <row r="1502" spans="2:8" ht="15" customHeight="1" x14ac:dyDescent="0.3">
      <c r="B1502" s="86">
        <v>45749</v>
      </c>
      <c r="C1502" s="8" t="s">
        <v>93</v>
      </c>
      <c r="D1502" s="9" t="s">
        <v>12</v>
      </c>
      <c r="E1502" s="57" t="s">
        <v>94</v>
      </c>
      <c r="F1502" s="58"/>
      <c r="G1502" s="58">
        <v>2</v>
      </c>
      <c r="H1502" s="58" t="s">
        <v>10</v>
      </c>
    </row>
    <row r="1503" spans="2:8" ht="15" customHeight="1" x14ac:dyDescent="0.3">
      <c r="B1503" s="86">
        <v>45749</v>
      </c>
      <c r="C1503" s="9" t="s">
        <v>151</v>
      </c>
      <c r="D1503" s="9" t="s">
        <v>20</v>
      </c>
      <c r="E1503" s="57" t="s">
        <v>152</v>
      </c>
      <c r="F1503" s="58"/>
      <c r="G1503" s="58">
        <v>2.1</v>
      </c>
      <c r="H1503" s="58" t="s">
        <v>10</v>
      </c>
    </row>
    <row r="1504" spans="2:8" ht="15" customHeight="1" x14ac:dyDescent="0.3">
      <c r="B1504" s="86">
        <v>45749</v>
      </c>
      <c r="C1504" s="9" t="s">
        <v>68</v>
      </c>
      <c r="D1504" s="9" t="s">
        <v>12</v>
      </c>
      <c r="E1504" s="57" t="s">
        <v>69</v>
      </c>
      <c r="F1504" s="58"/>
      <c r="G1504" s="58">
        <v>24</v>
      </c>
      <c r="H1504" s="58" t="s">
        <v>10</v>
      </c>
    </row>
    <row r="1505" spans="2:8" ht="15" customHeight="1" x14ac:dyDescent="0.3">
      <c r="B1505" s="86">
        <v>45749</v>
      </c>
      <c r="C1505" s="9" t="s">
        <v>57</v>
      </c>
      <c r="D1505" s="18" t="s">
        <v>12</v>
      </c>
      <c r="E1505" s="57" t="s">
        <v>58</v>
      </c>
      <c r="F1505" s="58"/>
      <c r="G1505" s="58">
        <v>400</v>
      </c>
      <c r="H1505" s="58" t="s">
        <v>10</v>
      </c>
    </row>
    <row r="1506" spans="2:8" ht="15" customHeight="1" x14ac:dyDescent="0.3">
      <c r="B1506" s="86">
        <v>45749</v>
      </c>
      <c r="C1506" s="9" t="s">
        <v>45</v>
      </c>
      <c r="D1506" s="9" t="s">
        <v>12</v>
      </c>
      <c r="E1506" s="57" t="s">
        <v>59</v>
      </c>
      <c r="F1506" s="58"/>
      <c r="G1506" s="58">
        <v>166</v>
      </c>
      <c r="H1506" s="58" t="s">
        <v>10</v>
      </c>
    </row>
    <row r="1507" spans="2:8" ht="15" customHeight="1" x14ac:dyDescent="0.3">
      <c r="B1507" s="86">
        <v>45749</v>
      </c>
      <c r="C1507" s="9" t="s">
        <v>14</v>
      </c>
      <c r="D1507" s="18" t="s">
        <v>12</v>
      </c>
      <c r="E1507" s="57" t="s">
        <v>15</v>
      </c>
      <c r="F1507" s="58"/>
      <c r="G1507" s="58">
        <v>64</v>
      </c>
      <c r="H1507" s="58" t="s">
        <v>10</v>
      </c>
    </row>
    <row r="1508" spans="2:8" ht="15" customHeight="1" x14ac:dyDescent="0.3">
      <c r="B1508" s="86">
        <v>45749</v>
      </c>
      <c r="C1508" s="42" t="s">
        <v>106</v>
      </c>
      <c r="D1508" s="9" t="s">
        <v>12</v>
      </c>
      <c r="E1508" s="57" t="s">
        <v>107</v>
      </c>
      <c r="F1508" s="58"/>
      <c r="G1508" s="58">
        <v>1</v>
      </c>
      <c r="H1508" s="58" t="s">
        <v>10</v>
      </c>
    </row>
    <row r="1509" spans="2:8" ht="15" customHeight="1" x14ac:dyDescent="0.3">
      <c r="B1509" s="86">
        <v>45749</v>
      </c>
      <c r="C1509" s="26" t="s">
        <v>101</v>
      </c>
      <c r="D1509" s="18" t="s">
        <v>8</v>
      </c>
      <c r="E1509" s="18" t="s">
        <v>102</v>
      </c>
      <c r="F1509" s="58"/>
      <c r="G1509" s="58">
        <v>1</v>
      </c>
      <c r="H1509" s="58" t="s">
        <v>10</v>
      </c>
    </row>
    <row r="1510" spans="2:8" ht="15" customHeight="1" x14ac:dyDescent="0.3">
      <c r="B1510" s="86">
        <v>45749</v>
      </c>
      <c r="C1510" s="18" t="s">
        <v>115</v>
      </c>
      <c r="D1510" s="18" t="s">
        <v>12</v>
      </c>
      <c r="E1510" s="18" t="s">
        <v>116</v>
      </c>
      <c r="F1510" s="58"/>
      <c r="G1510" s="58">
        <v>3</v>
      </c>
      <c r="H1510" s="58" t="s">
        <v>10</v>
      </c>
    </row>
    <row r="1511" spans="2:8" ht="15" customHeight="1" x14ac:dyDescent="0.3">
      <c r="B1511" s="86">
        <v>45751</v>
      </c>
      <c r="C1511" s="9" t="s">
        <v>79</v>
      </c>
      <c r="D1511" s="9" t="s">
        <v>20</v>
      </c>
      <c r="E1511" s="57" t="s">
        <v>82</v>
      </c>
      <c r="F1511" s="58"/>
      <c r="G1511" s="58">
        <v>1</v>
      </c>
      <c r="H1511" s="58" t="s">
        <v>10</v>
      </c>
    </row>
    <row r="1512" spans="2:8" ht="15" customHeight="1" x14ac:dyDescent="0.3">
      <c r="B1512" s="86">
        <v>45752</v>
      </c>
      <c r="C1512" s="9" t="s">
        <v>14</v>
      </c>
      <c r="D1512" s="9" t="s">
        <v>12</v>
      </c>
      <c r="E1512" s="57" t="s">
        <v>15</v>
      </c>
      <c r="F1512" s="58"/>
      <c r="G1512" s="58">
        <v>23</v>
      </c>
      <c r="H1512" s="58" t="s">
        <v>10</v>
      </c>
    </row>
    <row r="1513" spans="2:8" ht="15" customHeight="1" x14ac:dyDescent="0.3">
      <c r="B1513" s="86">
        <v>45752</v>
      </c>
      <c r="C1513" s="9" t="s">
        <v>79</v>
      </c>
      <c r="D1513" s="9" t="s">
        <v>20</v>
      </c>
      <c r="E1513" s="57" t="s">
        <v>82</v>
      </c>
      <c r="F1513" s="58"/>
      <c r="G1513" s="58">
        <v>1</v>
      </c>
      <c r="H1513" s="58" t="s">
        <v>10</v>
      </c>
    </row>
    <row r="1514" spans="2:8" ht="15" customHeight="1" x14ac:dyDescent="0.3">
      <c r="B1514" s="86">
        <v>45752</v>
      </c>
      <c r="C1514" s="9" t="s">
        <v>28</v>
      </c>
      <c r="D1514" s="9" t="s">
        <v>8</v>
      </c>
      <c r="E1514" s="57" t="s">
        <v>29</v>
      </c>
      <c r="F1514" s="58">
        <v>3</v>
      </c>
      <c r="G1514" s="58"/>
      <c r="H1514" s="58" t="s">
        <v>18</v>
      </c>
    </row>
    <row r="1515" spans="2:8" ht="15" customHeight="1" x14ac:dyDescent="0.3">
      <c r="B1515" s="86">
        <v>45752</v>
      </c>
      <c r="C1515" s="9" t="s">
        <v>7</v>
      </c>
      <c r="D1515" s="9" t="s">
        <v>8</v>
      </c>
      <c r="E1515" s="57" t="s">
        <v>9</v>
      </c>
      <c r="F1515" s="58">
        <v>3</v>
      </c>
      <c r="G1515" s="58"/>
      <c r="H1515" s="58" t="s">
        <v>18</v>
      </c>
    </row>
    <row r="1516" spans="2:8" ht="15" customHeight="1" x14ac:dyDescent="0.3">
      <c r="B1516" s="86">
        <v>45752</v>
      </c>
      <c r="C1516" s="9" t="s">
        <v>30</v>
      </c>
      <c r="D1516" s="9" t="s">
        <v>8</v>
      </c>
      <c r="E1516" s="57" t="s">
        <v>31</v>
      </c>
      <c r="F1516" s="58">
        <v>1</v>
      </c>
      <c r="G1516" s="58"/>
      <c r="H1516" s="58" t="s">
        <v>18</v>
      </c>
    </row>
    <row r="1517" spans="2:8" ht="15" customHeight="1" x14ac:dyDescent="0.3">
      <c r="B1517" s="86">
        <v>45752</v>
      </c>
      <c r="C1517" s="9" t="s">
        <v>51</v>
      </c>
      <c r="D1517" s="9" t="s">
        <v>20</v>
      </c>
      <c r="E1517" s="57" t="s">
        <v>52</v>
      </c>
      <c r="F1517" s="58">
        <v>10</v>
      </c>
      <c r="G1517" s="58"/>
      <c r="H1517" s="58" t="s">
        <v>18</v>
      </c>
    </row>
    <row r="1518" spans="2:8" ht="15" customHeight="1" x14ac:dyDescent="0.3">
      <c r="B1518" s="86">
        <v>45752</v>
      </c>
      <c r="C1518" s="26" t="s">
        <v>101</v>
      </c>
      <c r="D1518" s="18" t="s">
        <v>8</v>
      </c>
      <c r="E1518" s="18" t="s">
        <v>102</v>
      </c>
      <c r="F1518" s="58">
        <v>1</v>
      </c>
      <c r="G1518" s="58"/>
      <c r="H1518" s="58" t="s">
        <v>18</v>
      </c>
    </row>
    <row r="1519" spans="2:8" ht="15" customHeight="1" x14ac:dyDescent="0.3">
      <c r="B1519" s="86">
        <v>45753</v>
      </c>
      <c r="C1519" s="9" t="s">
        <v>45</v>
      </c>
      <c r="D1519" s="9" t="s">
        <v>12</v>
      </c>
      <c r="E1519" s="57" t="s">
        <v>59</v>
      </c>
      <c r="F1519" s="58"/>
      <c r="G1519" s="58">
        <v>60</v>
      </c>
      <c r="H1519" s="58" t="s">
        <v>10</v>
      </c>
    </row>
    <row r="1520" spans="2:8" ht="15" customHeight="1" x14ac:dyDescent="0.3">
      <c r="B1520" s="86">
        <v>45753</v>
      </c>
      <c r="C1520" s="9" t="s">
        <v>28</v>
      </c>
      <c r="D1520" s="9" t="s">
        <v>8</v>
      </c>
      <c r="E1520" s="57" t="s">
        <v>29</v>
      </c>
      <c r="F1520" s="58"/>
      <c r="G1520" s="58">
        <v>1</v>
      </c>
      <c r="H1520" s="58" t="s">
        <v>10</v>
      </c>
    </row>
    <row r="1521" spans="2:8" ht="15" customHeight="1" x14ac:dyDescent="0.3">
      <c r="B1521" s="86">
        <v>45753</v>
      </c>
      <c r="C1521" s="9" t="s">
        <v>28</v>
      </c>
      <c r="D1521" s="9" t="s">
        <v>8</v>
      </c>
      <c r="E1521" s="57" t="s">
        <v>29</v>
      </c>
      <c r="F1521" s="58"/>
      <c r="G1521" s="58">
        <v>4</v>
      </c>
      <c r="H1521" s="58" t="s">
        <v>10</v>
      </c>
    </row>
    <row r="1522" spans="2:8" ht="15" customHeight="1" x14ac:dyDescent="0.3">
      <c r="B1522" s="86">
        <v>45753</v>
      </c>
      <c r="C1522" s="9" t="s">
        <v>7</v>
      </c>
      <c r="D1522" s="9" t="s">
        <v>8</v>
      </c>
      <c r="E1522" s="57" t="s">
        <v>9</v>
      </c>
      <c r="F1522" s="58"/>
      <c r="G1522" s="58">
        <v>4</v>
      </c>
      <c r="H1522" s="58" t="s">
        <v>10</v>
      </c>
    </row>
    <row r="1523" spans="2:8" ht="15" customHeight="1" x14ac:dyDescent="0.3">
      <c r="B1523" s="86">
        <v>45754</v>
      </c>
      <c r="C1523" s="9" t="s">
        <v>45</v>
      </c>
      <c r="D1523" s="9" t="s">
        <v>12</v>
      </c>
      <c r="E1523" s="57" t="s">
        <v>59</v>
      </c>
      <c r="F1523" s="58"/>
      <c r="G1523" s="58">
        <v>14</v>
      </c>
      <c r="H1523" s="58" t="s">
        <v>10</v>
      </c>
    </row>
    <row r="1524" spans="2:8" ht="15" customHeight="1" x14ac:dyDescent="0.3">
      <c r="B1524" s="86">
        <v>45754</v>
      </c>
      <c r="C1524" s="9" t="s">
        <v>14</v>
      </c>
      <c r="D1524" s="18" t="s">
        <v>12</v>
      </c>
      <c r="E1524" s="57" t="s">
        <v>15</v>
      </c>
      <c r="F1524" s="58"/>
      <c r="G1524" s="58">
        <v>32</v>
      </c>
      <c r="H1524" s="58" t="s">
        <v>10</v>
      </c>
    </row>
    <row r="1525" spans="2:8" ht="15" customHeight="1" x14ac:dyDescent="0.3">
      <c r="B1525" s="86">
        <v>45754</v>
      </c>
      <c r="C1525" s="9" t="s">
        <v>55</v>
      </c>
      <c r="D1525" s="9" t="s">
        <v>12</v>
      </c>
      <c r="E1525" s="57" t="s">
        <v>56</v>
      </c>
      <c r="F1525" s="58"/>
      <c r="G1525" s="58">
        <v>30</v>
      </c>
      <c r="H1525" s="58" t="s">
        <v>10</v>
      </c>
    </row>
    <row r="1526" spans="2:8" ht="15" customHeight="1" x14ac:dyDescent="0.3">
      <c r="B1526" s="86">
        <v>45754</v>
      </c>
      <c r="C1526" s="9" t="s">
        <v>30</v>
      </c>
      <c r="D1526" s="9" t="s">
        <v>8</v>
      </c>
      <c r="E1526" s="57" t="s">
        <v>31</v>
      </c>
      <c r="F1526" s="58"/>
      <c r="G1526" s="58">
        <v>2</v>
      </c>
      <c r="H1526" s="58" t="s">
        <v>10</v>
      </c>
    </row>
    <row r="1527" spans="2:8" ht="15" customHeight="1" x14ac:dyDescent="0.3">
      <c r="B1527" s="86">
        <v>45754</v>
      </c>
      <c r="C1527" s="9" t="s">
        <v>43</v>
      </c>
      <c r="D1527" s="9" t="s">
        <v>20</v>
      </c>
      <c r="E1527" s="57" t="s">
        <v>44</v>
      </c>
      <c r="F1527" s="58"/>
      <c r="G1527" s="58">
        <v>4.0999999999999996</v>
      </c>
      <c r="H1527" s="58" t="s">
        <v>10</v>
      </c>
    </row>
    <row r="1528" spans="2:8" ht="15" customHeight="1" x14ac:dyDescent="0.3">
      <c r="B1528" s="86">
        <v>45754</v>
      </c>
      <c r="C1528" s="20" t="s">
        <v>189</v>
      </c>
      <c r="D1528" s="9" t="s">
        <v>12</v>
      </c>
      <c r="E1528" s="57" t="s">
        <v>92</v>
      </c>
      <c r="F1528" s="58"/>
      <c r="G1528" s="58">
        <v>60</v>
      </c>
      <c r="H1528" s="58" t="s">
        <v>10</v>
      </c>
    </row>
    <row r="1529" spans="2:8" ht="15" customHeight="1" x14ac:dyDescent="0.3">
      <c r="B1529" s="86">
        <v>45754</v>
      </c>
      <c r="C1529" s="9" t="s">
        <v>51</v>
      </c>
      <c r="D1529" s="9" t="s">
        <v>20</v>
      </c>
      <c r="E1529" s="57" t="s">
        <v>52</v>
      </c>
      <c r="F1529" s="58"/>
      <c r="G1529" s="58">
        <f>15.23-7.2</f>
        <v>8.0300000000000011</v>
      </c>
      <c r="H1529" s="58" t="s">
        <v>10</v>
      </c>
    </row>
    <row r="1530" spans="2:8" ht="15" customHeight="1" x14ac:dyDescent="0.3">
      <c r="B1530" s="86">
        <v>45754</v>
      </c>
      <c r="C1530" s="9" t="s">
        <v>73</v>
      </c>
      <c r="D1530" s="9" t="s">
        <v>71</v>
      </c>
      <c r="E1530" s="57" t="s">
        <v>74</v>
      </c>
      <c r="F1530" s="58">
        <v>1</v>
      </c>
      <c r="G1530" s="58"/>
      <c r="H1530" s="58" t="s">
        <v>18</v>
      </c>
    </row>
    <row r="1531" spans="2:8" ht="15" customHeight="1" x14ac:dyDescent="0.3">
      <c r="B1531" s="86">
        <v>45754</v>
      </c>
      <c r="C1531" s="9" t="s">
        <v>70</v>
      </c>
      <c r="D1531" s="9" t="s">
        <v>71</v>
      </c>
      <c r="E1531" s="57" t="s">
        <v>72</v>
      </c>
      <c r="F1531" s="58">
        <v>1</v>
      </c>
      <c r="G1531" s="58"/>
      <c r="H1531" s="58" t="s">
        <v>18</v>
      </c>
    </row>
    <row r="1532" spans="2:8" ht="15" customHeight="1" x14ac:dyDescent="0.3">
      <c r="B1532" s="86">
        <v>45754</v>
      </c>
      <c r="C1532" s="9" t="s">
        <v>57</v>
      </c>
      <c r="D1532" s="9" t="s">
        <v>12</v>
      </c>
      <c r="E1532" s="57" t="s">
        <v>58</v>
      </c>
      <c r="F1532" s="58"/>
      <c r="G1532" s="58">
        <v>80</v>
      </c>
      <c r="H1532" s="58" t="s">
        <v>10</v>
      </c>
    </row>
    <row r="1533" spans="2:8" ht="15" customHeight="1" x14ac:dyDescent="0.3">
      <c r="B1533" s="86">
        <v>45754</v>
      </c>
      <c r="C1533" s="9" t="s">
        <v>11</v>
      </c>
      <c r="D1533" s="9" t="s">
        <v>12</v>
      </c>
      <c r="E1533" s="57" t="s">
        <v>13</v>
      </c>
      <c r="F1533" s="58"/>
      <c r="G1533" s="58">
        <v>9</v>
      </c>
      <c r="H1533" s="58" t="s">
        <v>10</v>
      </c>
    </row>
    <row r="1534" spans="2:8" ht="15" customHeight="1" x14ac:dyDescent="0.3">
      <c r="B1534" s="86">
        <v>45754</v>
      </c>
      <c r="C1534" s="9" t="s">
        <v>61</v>
      </c>
      <c r="D1534" s="9" t="s">
        <v>20</v>
      </c>
      <c r="E1534" s="57" t="s">
        <v>62</v>
      </c>
      <c r="F1534" s="58"/>
      <c r="G1534" s="58">
        <f>25.6-11</f>
        <v>14.600000000000001</v>
      </c>
      <c r="H1534" s="58" t="s">
        <v>10</v>
      </c>
    </row>
    <row r="1535" spans="2:8" ht="15" customHeight="1" x14ac:dyDescent="0.3">
      <c r="B1535" s="86">
        <v>45754</v>
      </c>
      <c r="C1535" s="14" t="s">
        <v>126</v>
      </c>
      <c r="D1535" s="9" t="s">
        <v>12</v>
      </c>
      <c r="E1535" s="57" t="s">
        <v>97</v>
      </c>
      <c r="F1535" s="58"/>
      <c r="G1535" s="58">
        <v>30</v>
      </c>
      <c r="H1535" s="58" t="s">
        <v>10</v>
      </c>
    </row>
    <row r="1536" spans="2:8" ht="15" customHeight="1" x14ac:dyDescent="0.3">
      <c r="B1536" s="86">
        <v>45754</v>
      </c>
      <c r="C1536" s="9" t="s">
        <v>79</v>
      </c>
      <c r="D1536" s="9" t="s">
        <v>20</v>
      </c>
      <c r="E1536" s="57" t="s">
        <v>82</v>
      </c>
      <c r="F1536" s="58"/>
      <c r="G1536" s="58">
        <v>19.3</v>
      </c>
      <c r="H1536" s="58" t="s">
        <v>10</v>
      </c>
    </row>
    <row r="1537" spans="2:8" ht="15" customHeight="1" x14ac:dyDescent="0.3">
      <c r="B1537" s="86">
        <v>45754</v>
      </c>
      <c r="C1537" s="39" t="s">
        <v>90</v>
      </c>
      <c r="D1537" s="9" t="s">
        <v>20</v>
      </c>
      <c r="E1537" s="57" t="s">
        <v>91</v>
      </c>
      <c r="F1537" s="58"/>
      <c r="G1537" s="58">
        <v>5</v>
      </c>
      <c r="H1537" s="58" t="s">
        <v>10</v>
      </c>
    </row>
    <row r="1538" spans="2:8" ht="15" customHeight="1" x14ac:dyDescent="0.3">
      <c r="B1538" s="86">
        <v>45754</v>
      </c>
      <c r="C1538" s="26" t="s">
        <v>101</v>
      </c>
      <c r="D1538" s="9" t="s">
        <v>8</v>
      </c>
      <c r="E1538" s="57" t="s">
        <v>102</v>
      </c>
      <c r="F1538" s="58"/>
      <c r="G1538" s="58">
        <v>1</v>
      </c>
      <c r="H1538" s="58" t="s">
        <v>10</v>
      </c>
    </row>
    <row r="1539" spans="2:8" ht="15" customHeight="1" x14ac:dyDescent="0.3">
      <c r="B1539" s="86">
        <v>45754</v>
      </c>
      <c r="C1539" s="14" t="s">
        <v>110</v>
      </c>
      <c r="D1539" s="18" t="s">
        <v>12</v>
      </c>
      <c r="E1539" s="18" t="s">
        <v>111</v>
      </c>
      <c r="F1539" s="58">
        <v>32</v>
      </c>
      <c r="G1539" s="58"/>
      <c r="H1539" s="58" t="s">
        <v>18</v>
      </c>
    </row>
    <row r="1540" spans="2:8" ht="15" customHeight="1" x14ac:dyDescent="0.3">
      <c r="B1540" s="86">
        <v>45754</v>
      </c>
      <c r="C1540" s="18" t="s">
        <v>115</v>
      </c>
      <c r="D1540" s="25" t="s">
        <v>166</v>
      </c>
      <c r="E1540" s="18" t="s">
        <v>116</v>
      </c>
      <c r="F1540" s="58"/>
      <c r="G1540" s="58">
        <v>3</v>
      </c>
      <c r="H1540" s="58" t="s">
        <v>10</v>
      </c>
    </row>
    <row r="1541" spans="2:8" ht="15" customHeight="1" x14ac:dyDescent="0.3">
      <c r="B1541" s="86">
        <v>45755</v>
      </c>
      <c r="C1541" s="9" t="s">
        <v>11</v>
      </c>
      <c r="D1541" s="9" t="s">
        <v>12</v>
      </c>
      <c r="E1541" s="57" t="s">
        <v>13</v>
      </c>
      <c r="F1541" s="58">
        <v>24</v>
      </c>
      <c r="G1541" s="58"/>
      <c r="H1541" s="58" t="s">
        <v>18</v>
      </c>
    </row>
    <row r="1542" spans="2:8" ht="15" customHeight="1" x14ac:dyDescent="0.3">
      <c r="B1542" s="86">
        <v>45756</v>
      </c>
      <c r="C1542" s="9" t="s">
        <v>43</v>
      </c>
      <c r="D1542" s="9" t="s">
        <v>20</v>
      </c>
      <c r="E1542" s="57" t="s">
        <v>44</v>
      </c>
      <c r="F1542" s="58">
        <v>12</v>
      </c>
      <c r="G1542" s="58"/>
      <c r="H1542" s="58" t="s">
        <v>18</v>
      </c>
    </row>
    <row r="1543" spans="2:8" ht="15" customHeight="1" x14ac:dyDescent="0.3">
      <c r="B1543" s="86">
        <v>45756</v>
      </c>
      <c r="C1543" s="90" t="s">
        <v>39</v>
      </c>
      <c r="D1543" s="91" t="s">
        <v>20</v>
      </c>
      <c r="E1543" s="92" t="s">
        <v>40</v>
      </c>
      <c r="F1543" s="58">
        <v>5</v>
      </c>
      <c r="G1543" s="58"/>
      <c r="H1543" s="58" t="s">
        <v>18</v>
      </c>
    </row>
    <row r="1544" spans="2:8" ht="15" customHeight="1" x14ac:dyDescent="0.3">
      <c r="B1544" s="86">
        <v>45756</v>
      </c>
      <c r="C1544" s="95" t="s">
        <v>41</v>
      </c>
      <c r="D1544" s="96" t="s">
        <v>20</v>
      </c>
      <c r="E1544" s="97" t="s">
        <v>42</v>
      </c>
      <c r="F1544" s="58">
        <v>5</v>
      </c>
      <c r="G1544" s="58"/>
      <c r="H1544" s="58" t="s">
        <v>18</v>
      </c>
    </row>
    <row r="1545" spans="2:8" ht="15" customHeight="1" x14ac:dyDescent="0.3">
      <c r="B1545" s="86">
        <v>45756</v>
      </c>
      <c r="C1545" s="14" t="s">
        <v>110</v>
      </c>
      <c r="D1545" s="18" t="s">
        <v>12</v>
      </c>
      <c r="E1545" s="18" t="s">
        <v>111</v>
      </c>
      <c r="F1545" s="58">
        <v>36</v>
      </c>
      <c r="G1545" s="58"/>
      <c r="H1545" s="58" t="s">
        <v>18</v>
      </c>
    </row>
    <row r="1546" spans="2:8" ht="15" customHeight="1" x14ac:dyDescent="0.3">
      <c r="B1546" s="86">
        <v>45756</v>
      </c>
      <c r="C1546" s="9" t="s">
        <v>11</v>
      </c>
      <c r="D1546" s="9" t="s">
        <v>12</v>
      </c>
      <c r="E1546" s="57" t="s">
        <v>13</v>
      </c>
      <c r="F1546" s="58"/>
      <c r="G1546" s="58">
        <v>24</v>
      </c>
      <c r="H1546" s="58" t="s">
        <v>10</v>
      </c>
    </row>
    <row r="1547" spans="2:8" ht="15" customHeight="1" x14ac:dyDescent="0.3">
      <c r="B1547" s="86">
        <v>45757</v>
      </c>
      <c r="C1547" s="9" t="s">
        <v>30</v>
      </c>
      <c r="D1547" s="9" t="s">
        <v>8</v>
      </c>
      <c r="E1547" s="57" t="s">
        <v>31</v>
      </c>
      <c r="F1547" s="58">
        <v>1</v>
      </c>
      <c r="G1547" s="58"/>
      <c r="H1547" s="58" t="s">
        <v>10</v>
      </c>
    </row>
    <row r="1548" spans="2:8" ht="15" customHeight="1" x14ac:dyDescent="0.3">
      <c r="B1548" s="86">
        <v>45757</v>
      </c>
      <c r="C1548" s="9" t="s">
        <v>30</v>
      </c>
      <c r="D1548" s="9" t="s">
        <v>8</v>
      </c>
      <c r="E1548" s="57" t="s">
        <v>31</v>
      </c>
      <c r="F1548" s="58"/>
      <c r="G1548" s="58">
        <v>1</v>
      </c>
      <c r="H1548" s="58" t="s">
        <v>10</v>
      </c>
    </row>
    <row r="1549" spans="2:8" ht="15" customHeight="1" x14ac:dyDescent="0.3">
      <c r="B1549" s="86">
        <v>45757</v>
      </c>
      <c r="C1549" s="9" t="s">
        <v>28</v>
      </c>
      <c r="D1549" s="9" t="s">
        <v>8</v>
      </c>
      <c r="E1549" s="57" t="s">
        <v>29</v>
      </c>
      <c r="F1549" s="58"/>
      <c r="G1549" s="58">
        <v>1</v>
      </c>
      <c r="H1549" s="58" t="s">
        <v>10</v>
      </c>
    </row>
    <row r="1550" spans="2:8" ht="15" customHeight="1" x14ac:dyDescent="0.3">
      <c r="B1550" s="86">
        <v>45757</v>
      </c>
      <c r="C1550" s="9" t="s">
        <v>7</v>
      </c>
      <c r="D1550" s="9" t="s">
        <v>8</v>
      </c>
      <c r="E1550" s="57" t="s">
        <v>9</v>
      </c>
      <c r="F1550" s="58"/>
      <c r="G1550" s="58">
        <v>2</v>
      </c>
      <c r="H1550" s="58" t="s">
        <v>10</v>
      </c>
    </row>
    <row r="1551" spans="2:8" ht="15" customHeight="1" x14ac:dyDescent="0.3">
      <c r="B1551" s="86">
        <v>45757</v>
      </c>
      <c r="C1551" s="9" t="s">
        <v>73</v>
      </c>
      <c r="D1551" s="9" t="s">
        <v>71</v>
      </c>
      <c r="E1551" s="57" t="s">
        <v>74</v>
      </c>
      <c r="F1551" s="58"/>
      <c r="G1551" s="58">
        <v>1</v>
      </c>
      <c r="H1551" s="58" t="s">
        <v>10</v>
      </c>
    </row>
    <row r="1552" spans="2:8" ht="15" customHeight="1" x14ac:dyDescent="0.3">
      <c r="B1552" s="86">
        <v>45757</v>
      </c>
      <c r="C1552" s="9" t="s">
        <v>51</v>
      </c>
      <c r="D1552" s="9" t="s">
        <v>20</v>
      </c>
      <c r="E1552" s="57" t="s">
        <v>52</v>
      </c>
      <c r="F1552" s="58"/>
      <c r="G1552" s="58">
        <f>7.2-4.7</f>
        <v>2.5</v>
      </c>
      <c r="H1552" s="58" t="s">
        <v>10</v>
      </c>
    </row>
    <row r="1553" spans="2:8" ht="15" customHeight="1" x14ac:dyDescent="0.3">
      <c r="B1553" s="86">
        <v>45757</v>
      </c>
      <c r="C1553" s="9" t="s">
        <v>80</v>
      </c>
      <c r="D1553" s="9" t="s">
        <v>71</v>
      </c>
      <c r="E1553" s="57" t="s">
        <v>81</v>
      </c>
      <c r="F1553" s="58"/>
      <c r="G1553" s="58">
        <v>1</v>
      </c>
      <c r="H1553" s="58" t="s">
        <v>10</v>
      </c>
    </row>
    <row r="1554" spans="2:8" ht="15" customHeight="1" x14ac:dyDescent="0.3">
      <c r="B1554" s="86">
        <v>45757</v>
      </c>
      <c r="C1554" s="9" t="s">
        <v>55</v>
      </c>
      <c r="D1554" s="9" t="s">
        <v>12</v>
      </c>
      <c r="E1554" s="57" t="s">
        <v>56</v>
      </c>
      <c r="F1554" s="58"/>
      <c r="G1554" s="58">
        <v>30</v>
      </c>
      <c r="H1554" s="58" t="s">
        <v>10</v>
      </c>
    </row>
    <row r="1555" spans="2:8" ht="15" customHeight="1" x14ac:dyDescent="0.3">
      <c r="B1555" s="86">
        <v>45757</v>
      </c>
      <c r="C1555" s="9" t="s">
        <v>14</v>
      </c>
      <c r="D1555" s="9" t="s">
        <v>12</v>
      </c>
      <c r="E1555" s="57" t="s">
        <v>15</v>
      </c>
      <c r="F1555" s="58"/>
      <c r="G1555" s="58">
        <v>11</v>
      </c>
      <c r="H1555" s="58" t="s">
        <v>10</v>
      </c>
    </row>
    <row r="1556" spans="2:8" ht="15" customHeight="1" x14ac:dyDescent="0.3">
      <c r="B1556" s="86">
        <v>45757</v>
      </c>
      <c r="C1556" s="9" t="s">
        <v>61</v>
      </c>
      <c r="D1556" s="9" t="s">
        <v>20</v>
      </c>
      <c r="E1556" s="57" t="s">
        <v>62</v>
      </c>
      <c r="F1556" s="58"/>
      <c r="G1556" s="58">
        <v>2</v>
      </c>
      <c r="H1556" s="58" t="s">
        <v>10</v>
      </c>
    </row>
    <row r="1557" spans="2:8" ht="15" customHeight="1" x14ac:dyDescent="0.3">
      <c r="B1557" s="86">
        <v>45757</v>
      </c>
      <c r="C1557" s="14" t="s">
        <v>110</v>
      </c>
      <c r="D1557" s="18" t="s">
        <v>12</v>
      </c>
      <c r="E1557" s="18" t="s">
        <v>111</v>
      </c>
      <c r="F1557" s="58"/>
      <c r="G1557" s="58">
        <v>25</v>
      </c>
      <c r="H1557" s="58" t="s">
        <v>10</v>
      </c>
    </row>
    <row r="1558" spans="2:8" ht="15" customHeight="1" x14ac:dyDescent="0.3">
      <c r="B1558" s="86">
        <v>45758</v>
      </c>
      <c r="C1558" s="9" t="s">
        <v>45</v>
      </c>
      <c r="D1558" s="9" t="s">
        <v>12</v>
      </c>
      <c r="E1558" s="57" t="s">
        <v>59</v>
      </c>
      <c r="F1558" s="58"/>
      <c r="G1558" s="58">
        <v>30</v>
      </c>
      <c r="H1558" s="58" t="s">
        <v>10</v>
      </c>
    </row>
    <row r="1559" spans="2:8" ht="15" customHeight="1" x14ac:dyDescent="0.3">
      <c r="B1559" s="86">
        <v>45758</v>
      </c>
      <c r="C1559" s="37" t="s">
        <v>167</v>
      </c>
      <c r="D1559" s="93" t="s">
        <v>12</v>
      </c>
      <c r="E1559" s="93" t="s">
        <v>168</v>
      </c>
      <c r="F1559" s="58"/>
      <c r="G1559" s="58">
        <v>1</v>
      </c>
      <c r="H1559" s="58" t="s">
        <v>10</v>
      </c>
    </row>
    <row r="1560" spans="2:8" ht="15" customHeight="1" x14ac:dyDescent="0.3">
      <c r="B1560" s="86">
        <v>45758</v>
      </c>
      <c r="C1560" s="14" t="s">
        <v>110</v>
      </c>
      <c r="D1560" s="18" t="s">
        <v>12</v>
      </c>
      <c r="E1560" s="18" t="s">
        <v>111</v>
      </c>
      <c r="F1560" s="58">
        <v>88</v>
      </c>
      <c r="G1560" s="58"/>
      <c r="H1560" s="58" t="s">
        <v>18</v>
      </c>
    </row>
    <row r="1561" spans="2:8" ht="15" customHeight="1" x14ac:dyDescent="0.3">
      <c r="B1561" s="86">
        <v>45758</v>
      </c>
      <c r="C1561" s="9" t="s">
        <v>28</v>
      </c>
      <c r="D1561" s="9" t="s">
        <v>8</v>
      </c>
      <c r="E1561" s="57" t="s">
        <v>29</v>
      </c>
      <c r="F1561" s="58">
        <v>1</v>
      </c>
      <c r="G1561" s="58"/>
      <c r="H1561" s="58" t="s">
        <v>18</v>
      </c>
    </row>
    <row r="1562" spans="2:8" ht="15" customHeight="1" x14ac:dyDescent="0.3">
      <c r="B1562" s="86">
        <v>45759</v>
      </c>
      <c r="C1562" s="9" t="s">
        <v>28</v>
      </c>
      <c r="D1562" s="9" t="s">
        <v>8</v>
      </c>
      <c r="E1562" s="57" t="s">
        <v>29</v>
      </c>
      <c r="F1562" s="58">
        <v>2</v>
      </c>
      <c r="G1562" s="58"/>
      <c r="H1562" s="58" t="s">
        <v>18</v>
      </c>
    </row>
    <row r="1563" spans="2:8" ht="15" customHeight="1" x14ac:dyDescent="0.3">
      <c r="B1563" s="86">
        <v>45759</v>
      </c>
      <c r="C1563" s="9" t="s">
        <v>75</v>
      </c>
      <c r="D1563" s="9" t="s">
        <v>8</v>
      </c>
      <c r="E1563" s="57" t="s">
        <v>76</v>
      </c>
      <c r="F1563" s="58">
        <v>1</v>
      </c>
      <c r="G1563" s="58"/>
      <c r="H1563" s="58" t="s">
        <v>18</v>
      </c>
    </row>
    <row r="1564" spans="2:8" ht="15" customHeight="1" x14ac:dyDescent="0.3">
      <c r="B1564" s="86">
        <v>45759</v>
      </c>
      <c r="C1564" s="9" t="s">
        <v>7</v>
      </c>
      <c r="D1564" s="9" t="s">
        <v>8</v>
      </c>
      <c r="E1564" s="57" t="s">
        <v>9</v>
      </c>
      <c r="F1564" s="58">
        <v>1</v>
      </c>
      <c r="G1564" s="58"/>
      <c r="H1564" s="58" t="s">
        <v>18</v>
      </c>
    </row>
    <row r="1565" spans="2:8" ht="15" customHeight="1" x14ac:dyDescent="0.3">
      <c r="B1565" s="86">
        <v>45759</v>
      </c>
      <c r="C1565" s="9" t="s">
        <v>30</v>
      </c>
      <c r="D1565" s="9" t="s">
        <v>8</v>
      </c>
      <c r="E1565" s="57" t="s">
        <v>31</v>
      </c>
      <c r="F1565" s="58">
        <v>1</v>
      </c>
      <c r="G1565" s="58"/>
      <c r="H1565" s="58" t="s">
        <v>18</v>
      </c>
    </row>
    <row r="1566" spans="2:8" ht="15" customHeight="1" x14ac:dyDescent="0.3">
      <c r="B1566" s="86">
        <v>45759</v>
      </c>
      <c r="C1566" s="9" t="s">
        <v>11</v>
      </c>
      <c r="D1566" s="9" t="s">
        <v>12</v>
      </c>
      <c r="E1566" s="57" t="s">
        <v>13</v>
      </c>
      <c r="F1566" s="58">
        <v>10</v>
      </c>
      <c r="G1566" s="58"/>
      <c r="H1566" s="58" t="s">
        <v>18</v>
      </c>
    </row>
    <row r="1567" spans="2:8" ht="15" customHeight="1" x14ac:dyDescent="0.3">
      <c r="B1567" s="86">
        <v>45760</v>
      </c>
      <c r="C1567" s="9" t="s">
        <v>28</v>
      </c>
      <c r="D1567" s="9" t="s">
        <v>8</v>
      </c>
      <c r="E1567" s="57" t="s">
        <v>29</v>
      </c>
      <c r="F1567" s="58"/>
      <c r="G1567" s="58">
        <v>2</v>
      </c>
      <c r="H1567" s="58" t="s">
        <v>10</v>
      </c>
    </row>
    <row r="1568" spans="2:8" ht="15" customHeight="1" x14ac:dyDescent="0.3">
      <c r="B1568" s="86">
        <v>45760</v>
      </c>
      <c r="C1568" s="9" t="s">
        <v>75</v>
      </c>
      <c r="D1568" s="9" t="s">
        <v>8</v>
      </c>
      <c r="E1568" s="57" t="s">
        <v>76</v>
      </c>
      <c r="F1568" s="58"/>
      <c r="G1568" s="58">
        <v>1</v>
      </c>
      <c r="H1568" s="58" t="s">
        <v>10</v>
      </c>
    </row>
    <row r="1569" spans="2:8" ht="15" customHeight="1" x14ac:dyDescent="0.3">
      <c r="B1569" s="86">
        <v>45761</v>
      </c>
      <c r="C1569" s="9" t="s">
        <v>30</v>
      </c>
      <c r="D1569" s="9" t="s">
        <v>8</v>
      </c>
      <c r="E1569" s="57" t="s">
        <v>31</v>
      </c>
      <c r="F1569" s="58"/>
      <c r="G1569" s="58">
        <v>1</v>
      </c>
      <c r="H1569" s="58" t="s">
        <v>10</v>
      </c>
    </row>
    <row r="1570" spans="2:8" ht="15" customHeight="1" x14ac:dyDescent="0.3">
      <c r="B1570" s="86">
        <v>45761</v>
      </c>
      <c r="C1570" s="9" t="s">
        <v>28</v>
      </c>
      <c r="D1570" s="9" t="s">
        <v>8</v>
      </c>
      <c r="E1570" s="57" t="s">
        <v>29</v>
      </c>
      <c r="F1570" s="58"/>
      <c r="G1570" s="58">
        <v>1</v>
      </c>
      <c r="H1570" s="58" t="s">
        <v>10</v>
      </c>
    </row>
    <row r="1571" spans="2:8" ht="15" customHeight="1" x14ac:dyDescent="0.3">
      <c r="B1571" s="86">
        <v>45761</v>
      </c>
      <c r="C1571" s="9" t="s">
        <v>7</v>
      </c>
      <c r="D1571" s="9" t="s">
        <v>8</v>
      </c>
      <c r="E1571" s="57" t="s">
        <v>9</v>
      </c>
      <c r="F1571" s="58"/>
      <c r="G1571" s="58">
        <v>1</v>
      </c>
      <c r="H1571" s="58" t="s">
        <v>10</v>
      </c>
    </row>
    <row r="1572" spans="2:8" ht="15" customHeight="1" x14ac:dyDescent="0.3">
      <c r="B1572" s="86">
        <v>45761</v>
      </c>
      <c r="C1572" s="9" t="s">
        <v>43</v>
      </c>
      <c r="D1572" s="9" t="s">
        <v>20</v>
      </c>
      <c r="E1572" s="57" t="s">
        <v>44</v>
      </c>
      <c r="F1572" s="58"/>
      <c r="G1572" s="58">
        <f>12-7</f>
        <v>5</v>
      </c>
      <c r="H1572" s="58" t="s">
        <v>10</v>
      </c>
    </row>
    <row r="1573" spans="2:8" ht="15" customHeight="1" x14ac:dyDescent="0.3">
      <c r="B1573" s="86">
        <v>45761</v>
      </c>
      <c r="C1573" s="9" t="s">
        <v>51</v>
      </c>
      <c r="D1573" s="9" t="s">
        <v>20</v>
      </c>
      <c r="E1573" s="57" t="s">
        <v>52</v>
      </c>
      <c r="F1573" s="58"/>
      <c r="G1573" s="58">
        <f>4.7-1.8</f>
        <v>2.9000000000000004</v>
      </c>
      <c r="H1573" s="58" t="s">
        <v>10</v>
      </c>
    </row>
    <row r="1574" spans="2:8" ht="15" customHeight="1" x14ac:dyDescent="0.3">
      <c r="B1574" s="86">
        <v>45761</v>
      </c>
      <c r="C1574" s="8" t="s">
        <v>93</v>
      </c>
      <c r="D1574" s="8" t="s">
        <v>12</v>
      </c>
      <c r="E1574" s="18" t="s">
        <v>94</v>
      </c>
      <c r="F1574" s="58"/>
      <c r="G1574" s="58">
        <v>3</v>
      </c>
      <c r="H1574" s="58" t="s">
        <v>10</v>
      </c>
    </row>
    <row r="1575" spans="2:8" ht="15" customHeight="1" x14ac:dyDescent="0.3">
      <c r="B1575" s="86">
        <v>45761</v>
      </c>
      <c r="C1575" s="9" t="s">
        <v>55</v>
      </c>
      <c r="D1575" s="9" t="s">
        <v>12</v>
      </c>
      <c r="E1575" s="57" t="s">
        <v>56</v>
      </c>
      <c r="F1575" s="58"/>
      <c r="G1575" s="58">
        <v>60</v>
      </c>
      <c r="H1575" s="58" t="s">
        <v>10</v>
      </c>
    </row>
    <row r="1576" spans="2:8" ht="15" customHeight="1" x14ac:dyDescent="0.3">
      <c r="B1576" s="86">
        <v>45761</v>
      </c>
      <c r="C1576" s="14" t="s">
        <v>61</v>
      </c>
      <c r="D1576" s="9" t="s">
        <v>20</v>
      </c>
      <c r="E1576" s="57" t="s">
        <v>62</v>
      </c>
      <c r="F1576" s="58"/>
      <c r="G1576" s="58">
        <v>2</v>
      </c>
      <c r="H1576" s="58" t="s">
        <v>10</v>
      </c>
    </row>
    <row r="1577" spans="2:8" ht="15" customHeight="1" x14ac:dyDescent="0.3">
      <c r="B1577" s="86">
        <v>45761</v>
      </c>
      <c r="C1577" s="14" t="s">
        <v>110</v>
      </c>
      <c r="D1577" s="9" t="s">
        <v>12</v>
      </c>
      <c r="E1577" s="57" t="s">
        <v>111</v>
      </c>
      <c r="F1577" s="58"/>
      <c r="G1577" s="58">
        <f>131-3</f>
        <v>128</v>
      </c>
      <c r="H1577" s="58" t="s">
        <v>10</v>
      </c>
    </row>
    <row r="1578" spans="2:8" ht="15" customHeight="1" x14ac:dyDescent="0.3">
      <c r="B1578" s="86">
        <v>45761</v>
      </c>
      <c r="C1578" s="14" t="s">
        <v>126</v>
      </c>
      <c r="D1578" s="14" t="s">
        <v>12</v>
      </c>
      <c r="E1578" s="18" t="s">
        <v>97</v>
      </c>
      <c r="F1578" s="58">
        <v>73</v>
      </c>
      <c r="G1578" s="58"/>
      <c r="H1578" s="58" t="s">
        <v>18</v>
      </c>
    </row>
    <row r="1579" spans="2:8" ht="15" customHeight="1" x14ac:dyDescent="0.3">
      <c r="B1579" s="86">
        <v>45761</v>
      </c>
      <c r="C1579" s="18" t="s">
        <v>115</v>
      </c>
      <c r="D1579" s="9" t="s">
        <v>12</v>
      </c>
      <c r="E1579" s="57" t="s">
        <v>116</v>
      </c>
      <c r="F1579" s="58"/>
      <c r="G1579" s="58">
        <v>1</v>
      </c>
      <c r="H1579" s="58" t="s">
        <v>10</v>
      </c>
    </row>
    <row r="1580" spans="2:8" ht="15" customHeight="1" x14ac:dyDescent="0.3">
      <c r="B1580" s="86">
        <v>45761</v>
      </c>
      <c r="C1580" s="37" t="s">
        <v>167</v>
      </c>
      <c r="D1580" s="9" t="s">
        <v>12</v>
      </c>
      <c r="E1580" s="57" t="s">
        <v>168</v>
      </c>
      <c r="F1580" s="58"/>
      <c r="G1580" s="58">
        <v>1</v>
      </c>
      <c r="H1580" s="58" t="s">
        <v>10</v>
      </c>
    </row>
    <row r="1581" spans="2:8" ht="15" customHeight="1" x14ac:dyDescent="0.3">
      <c r="B1581" s="86">
        <v>45761</v>
      </c>
      <c r="C1581" s="26" t="s">
        <v>101</v>
      </c>
      <c r="D1581" s="26" t="s">
        <v>8</v>
      </c>
      <c r="E1581" s="18" t="s">
        <v>102</v>
      </c>
      <c r="F1581" s="58">
        <v>1</v>
      </c>
      <c r="G1581" s="58"/>
      <c r="H1581" s="58" t="s">
        <v>18</v>
      </c>
    </row>
    <row r="1582" spans="2:8" ht="15" customHeight="1" x14ac:dyDescent="0.3">
      <c r="B1582" s="86">
        <v>45762</v>
      </c>
      <c r="C1582" s="9" t="s">
        <v>30</v>
      </c>
      <c r="D1582" s="9" t="s">
        <v>8</v>
      </c>
      <c r="E1582" s="57" t="s">
        <v>31</v>
      </c>
      <c r="F1582" s="58">
        <v>1</v>
      </c>
      <c r="G1582" s="58"/>
      <c r="H1582" s="58" t="s">
        <v>18</v>
      </c>
    </row>
    <row r="1583" spans="2:8" ht="15" customHeight="1" x14ac:dyDescent="0.3">
      <c r="B1583" s="86">
        <v>45762</v>
      </c>
      <c r="C1583" s="9" t="s">
        <v>28</v>
      </c>
      <c r="D1583" s="9" t="s">
        <v>8</v>
      </c>
      <c r="E1583" s="57" t="s">
        <v>29</v>
      </c>
      <c r="F1583" s="58">
        <v>1</v>
      </c>
      <c r="G1583" s="58"/>
      <c r="H1583" s="58" t="s">
        <v>18</v>
      </c>
    </row>
    <row r="1584" spans="2:8" ht="15" customHeight="1" x14ac:dyDescent="0.3">
      <c r="B1584" s="86">
        <v>45764</v>
      </c>
      <c r="C1584" s="9" t="s">
        <v>7</v>
      </c>
      <c r="D1584" s="9" t="s">
        <v>8</v>
      </c>
      <c r="E1584" s="57" t="s">
        <v>9</v>
      </c>
      <c r="F1584" s="58">
        <v>1</v>
      </c>
      <c r="G1584" s="58"/>
      <c r="H1584" s="58" t="s">
        <v>18</v>
      </c>
    </row>
    <row r="1585" spans="2:8" ht="15" customHeight="1" x14ac:dyDescent="0.3">
      <c r="B1585" s="86">
        <v>45764</v>
      </c>
      <c r="C1585" s="9" t="s">
        <v>28</v>
      </c>
      <c r="D1585" s="9" t="s">
        <v>8</v>
      </c>
      <c r="E1585" s="57" t="s">
        <v>29</v>
      </c>
      <c r="F1585" s="58"/>
      <c r="G1585" s="58">
        <v>1</v>
      </c>
      <c r="H1585" s="58" t="s">
        <v>10</v>
      </c>
    </row>
    <row r="1586" spans="2:8" ht="15" customHeight="1" x14ac:dyDescent="0.3">
      <c r="B1586" s="86">
        <v>45764</v>
      </c>
      <c r="C1586" s="9" t="s">
        <v>73</v>
      </c>
      <c r="D1586" s="9" t="s">
        <v>71</v>
      </c>
      <c r="E1586" s="57" t="s">
        <v>74</v>
      </c>
      <c r="F1586" s="58"/>
      <c r="G1586" s="58">
        <v>1</v>
      </c>
      <c r="H1586" s="58" t="s">
        <v>10</v>
      </c>
    </row>
    <row r="1587" spans="2:8" ht="15" customHeight="1" x14ac:dyDescent="0.3">
      <c r="B1587" s="86">
        <v>45764</v>
      </c>
      <c r="C1587" s="9" t="s">
        <v>70</v>
      </c>
      <c r="D1587" s="9" t="s">
        <v>71</v>
      </c>
      <c r="E1587" s="57" t="s">
        <v>72</v>
      </c>
      <c r="F1587" s="58"/>
      <c r="G1587" s="58">
        <v>1</v>
      </c>
      <c r="H1587" s="58" t="s">
        <v>10</v>
      </c>
    </row>
    <row r="1588" spans="2:8" ht="15" customHeight="1" x14ac:dyDescent="0.3">
      <c r="B1588" s="86">
        <v>45764</v>
      </c>
      <c r="C1588" s="9" t="s">
        <v>51</v>
      </c>
      <c r="D1588" s="9" t="s">
        <v>20</v>
      </c>
      <c r="E1588" s="57" t="s">
        <v>52</v>
      </c>
      <c r="F1588" s="58"/>
      <c r="G1588" s="58">
        <v>1.7</v>
      </c>
      <c r="H1588" s="58" t="s">
        <v>10</v>
      </c>
    </row>
    <row r="1589" spans="2:8" ht="15" customHeight="1" x14ac:dyDescent="0.3">
      <c r="B1589" s="86">
        <v>45764</v>
      </c>
      <c r="C1589" s="9" t="s">
        <v>14</v>
      </c>
      <c r="D1589" s="9" t="s">
        <v>12</v>
      </c>
      <c r="E1589" s="57" t="s">
        <v>15</v>
      </c>
      <c r="F1589" s="58"/>
      <c r="G1589" s="58">
        <v>22</v>
      </c>
      <c r="H1589" s="58" t="s">
        <v>10</v>
      </c>
    </row>
    <row r="1590" spans="2:8" ht="15" customHeight="1" x14ac:dyDescent="0.3">
      <c r="B1590" s="86">
        <v>45764</v>
      </c>
      <c r="C1590" s="26" t="s">
        <v>101</v>
      </c>
      <c r="D1590" s="26" t="s">
        <v>8</v>
      </c>
      <c r="E1590" s="18" t="s">
        <v>102</v>
      </c>
      <c r="F1590" s="58"/>
      <c r="G1590" s="58">
        <v>2</v>
      </c>
      <c r="H1590" s="58" t="s">
        <v>10</v>
      </c>
    </row>
    <row r="1591" spans="2:8" ht="15" customHeight="1" x14ac:dyDescent="0.3">
      <c r="B1591" s="86">
        <v>45764</v>
      </c>
      <c r="C1591" s="9" t="s">
        <v>14</v>
      </c>
      <c r="D1591" s="9" t="s">
        <v>12</v>
      </c>
      <c r="E1591" s="57" t="s">
        <v>15</v>
      </c>
      <c r="F1591" s="58"/>
      <c r="G1591" s="58">
        <v>22</v>
      </c>
      <c r="H1591" s="58" t="s">
        <v>10</v>
      </c>
    </row>
    <row r="1592" spans="2:8" ht="15" customHeight="1" x14ac:dyDescent="0.3">
      <c r="B1592" s="86">
        <v>45764</v>
      </c>
      <c r="C1592" s="9" t="s">
        <v>11</v>
      </c>
      <c r="D1592" s="9" t="s">
        <v>12</v>
      </c>
      <c r="E1592" s="57" t="s">
        <v>174</v>
      </c>
      <c r="F1592" s="58"/>
      <c r="G1592" s="58">
        <v>10</v>
      </c>
      <c r="H1592" s="58" t="s">
        <v>10</v>
      </c>
    </row>
    <row r="1593" spans="2:8" ht="15" customHeight="1" x14ac:dyDescent="0.3">
      <c r="B1593" s="86">
        <v>45765</v>
      </c>
      <c r="C1593" s="9" t="s">
        <v>11</v>
      </c>
      <c r="D1593" s="9" t="s">
        <v>12</v>
      </c>
      <c r="E1593" s="57" t="s">
        <v>174</v>
      </c>
      <c r="F1593" s="58">
        <v>20</v>
      </c>
      <c r="G1593" s="58"/>
      <c r="H1593" s="58" t="s">
        <v>18</v>
      </c>
    </row>
    <row r="1594" spans="2:8" ht="15" customHeight="1" x14ac:dyDescent="0.3">
      <c r="B1594" s="86">
        <v>45765</v>
      </c>
      <c r="C1594" s="9" t="s">
        <v>51</v>
      </c>
      <c r="D1594" s="9" t="s">
        <v>20</v>
      </c>
      <c r="E1594" s="57" t="s">
        <v>52</v>
      </c>
      <c r="F1594" s="58">
        <v>1</v>
      </c>
      <c r="G1594" s="58"/>
      <c r="H1594" s="58" t="s">
        <v>18</v>
      </c>
    </row>
    <row r="1595" spans="2:8" ht="15" customHeight="1" x14ac:dyDescent="0.3">
      <c r="B1595" s="86">
        <v>45765</v>
      </c>
      <c r="C1595" s="9" t="s">
        <v>28</v>
      </c>
      <c r="D1595" s="9" t="s">
        <v>8</v>
      </c>
      <c r="E1595" s="57" t="s">
        <v>29</v>
      </c>
      <c r="F1595" s="58">
        <v>3</v>
      </c>
      <c r="G1595" s="58"/>
      <c r="H1595" s="58" t="s">
        <v>18</v>
      </c>
    </row>
    <row r="1596" spans="2:8" ht="15" customHeight="1" x14ac:dyDescent="0.3">
      <c r="B1596" s="86">
        <v>45765</v>
      </c>
      <c r="C1596" s="9" t="s">
        <v>7</v>
      </c>
      <c r="D1596" s="9" t="s">
        <v>8</v>
      </c>
      <c r="E1596" s="57" t="s">
        <v>9</v>
      </c>
      <c r="F1596" s="58">
        <v>1</v>
      </c>
      <c r="G1596" s="58"/>
      <c r="H1596" s="58" t="s">
        <v>18</v>
      </c>
    </row>
    <row r="1597" spans="2:8" ht="15" customHeight="1" x14ac:dyDescent="0.3">
      <c r="B1597" s="86">
        <v>45765</v>
      </c>
      <c r="C1597" s="26" t="s">
        <v>68</v>
      </c>
      <c r="D1597" s="26" t="s">
        <v>12</v>
      </c>
      <c r="E1597" s="18" t="s">
        <v>69</v>
      </c>
      <c r="F1597" s="58">
        <v>8</v>
      </c>
      <c r="G1597" s="58"/>
      <c r="H1597" s="58" t="s">
        <v>18</v>
      </c>
    </row>
    <row r="1598" spans="2:8" ht="15" customHeight="1" x14ac:dyDescent="0.3">
      <c r="B1598" s="86">
        <v>45767</v>
      </c>
      <c r="C1598" s="9" t="s">
        <v>51</v>
      </c>
      <c r="D1598" s="9" t="s">
        <v>20</v>
      </c>
      <c r="E1598" s="57" t="s">
        <v>52</v>
      </c>
      <c r="F1598" s="58">
        <v>2</v>
      </c>
      <c r="G1598" s="58"/>
      <c r="H1598" s="58" t="s">
        <v>18</v>
      </c>
    </row>
    <row r="1599" spans="2:8" ht="15" customHeight="1" x14ac:dyDescent="0.3">
      <c r="B1599" s="86">
        <v>45768</v>
      </c>
      <c r="C1599" s="26" t="s">
        <v>101</v>
      </c>
      <c r="D1599" s="26" t="s">
        <v>8</v>
      </c>
      <c r="E1599" s="18" t="s">
        <v>102</v>
      </c>
      <c r="F1599" s="58">
        <v>1</v>
      </c>
      <c r="G1599" s="58"/>
      <c r="H1599" s="58" t="s">
        <v>18</v>
      </c>
    </row>
    <row r="1600" spans="2:8" ht="15" customHeight="1" x14ac:dyDescent="0.3">
      <c r="B1600" s="86">
        <v>45768</v>
      </c>
      <c r="C1600" s="9" t="s">
        <v>7</v>
      </c>
      <c r="D1600" s="9" t="s">
        <v>8</v>
      </c>
      <c r="E1600" s="57" t="s">
        <v>9</v>
      </c>
      <c r="F1600" s="58">
        <v>2</v>
      </c>
      <c r="G1600" s="58"/>
      <c r="H1600" s="58" t="s">
        <v>18</v>
      </c>
    </row>
    <row r="1601" spans="2:8" ht="15" customHeight="1" x14ac:dyDescent="0.3">
      <c r="B1601" s="86">
        <v>45768</v>
      </c>
      <c r="C1601" s="9" t="s">
        <v>51</v>
      </c>
      <c r="D1601" s="9" t="s">
        <v>20</v>
      </c>
      <c r="E1601" s="57" t="s">
        <v>52</v>
      </c>
      <c r="F1601" s="58">
        <v>2</v>
      </c>
      <c r="G1601" s="58"/>
      <c r="H1601" s="58" t="s">
        <v>18</v>
      </c>
    </row>
    <row r="1602" spans="2:8" ht="15" customHeight="1" x14ac:dyDescent="0.3">
      <c r="B1602" s="86">
        <v>45768</v>
      </c>
      <c r="C1602" s="9" t="s">
        <v>73</v>
      </c>
      <c r="D1602" s="9" t="s">
        <v>71</v>
      </c>
      <c r="E1602" s="57" t="s">
        <v>74</v>
      </c>
      <c r="F1602" s="58">
        <v>2</v>
      </c>
      <c r="G1602" s="58"/>
      <c r="H1602" s="58" t="s">
        <v>18</v>
      </c>
    </row>
    <row r="1603" spans="2:8" ht="15" customHeight="1" x14ac:dyDescent="0.3">
      <c r="B1603" s="86">
        <v>45768</v>
      </c>
      <c r="C1603" s="14" t="s">
        <v>61</v>
      </c>
      <c r="D1603" s="14" t="s">
        <v>20</v>
      </c>
      <c r="E1603" s="18" t="s">
        <v>62</v>
      </c>
      <c r="F1603" s="58">
        <v>10</v>
      </c>
      <c r="G1603" s="58"/>
      <c r="H1603" s="58" t="s">
        <v>18</v>
      </c>
    </row>
    <row r="1604" spans="2:8" ht="15" customHeight="1" x14ac:dyDescent="0.3">
      <c r="B1604" s="86">
        <v>45769</v>
      </c>
      <c r="C1604" s="9" t="s">
        <v>28</v>
      </c>
      <c r="D1604" s="9" t="s">
        <v>8</v>
      </c>
      <c r="E1604" s="57" t="s">
        <v>29</v>
      </c>
      <c r="F1604" s="58"/>
      <c r="G1604" s="58">
        <v>2</v>
      </c>
      <c r="H1604" s="58" t="s">
        <v>10</v>
      </c>
    </row>
    <row r="1605" spans="2:8" ht="15" customHeight="1" x14ac:dyDescent="0.3">
      <c r="B1605" s="86">
        <v>45769</v>
      </c>
      <c r="C1605" s="9" t="s">
        <v>7</v>
      </c>
      <c r="D1605" s="9" t="s">
        <v>8</v>
      </c>
      <c r="E1605" s="57" t="s">
        <v>9</v>
      </c>
      <c r="F1605" s="58"/>
      <c r="G1605" s="58">
        <v>2</v>
      </c>
      <c r="H1605" s="58" t="s">
        <v>10</v>
      </c>
    </row>
    <row r="1606" spans="2:8" ht="15" customHeight="1" x14ac:dyDescent="0.3">
      <c r="B1606" s="86">
        <v>45769</v>
      </c>
      <c r="C1606" s="9" t="s">
        <v>43</v>
      </c>
      <c r="D1606" s="9" t="s">
        <v>20</v>
      </c>
      <c r="E1606" s="57" t="s">
        <v>44</v>
      </c>
      <c r="F1606" s="58"/>
      <c r="G1606" s="58">
        <f>7.1-2.5</f>
        <v>4.5999999999999996</v>
      </c>
      <c r="H1606" s="58" t="s">
        <v>10</v>
      </c>
    </row>
    <row r="1607" spans="2:8" ht="15" customHeight="1" x14ac:dyDescent="0.3">
      <c r="B1607" s="86">
        <v>45769</v>
      </c>
      <c r="C1607" s="9" t="s">
        <v>77</v>
      </c>
      <c r="D1607" s="9" t="s">
        <v>20</v>
      </c>
      <c r="E1607" s="57" t="s">
        <v>78</v>
      </c>
      <c r="F1607" s="58"/>
      <c r="G1607" s="58">
        <f>2.65-1.9</f>
        <v>0.75</v>
      </c>
      <c r="H1607" s="58" t="s">
        <v>10</v>
      </c>
    </row>
    <row r="1608" spans="2:8" ht="15" customHeight="1" x14ac:dyDescent="0.3">
      <c r="B1608" s="86">
        <v>45769</v>
      </c>
      <c r="C1608" s="9" t="s">
        <v>51</v>
      </c>
      <c r="D1608" s="9" t="s">
        <v>20</v>
      </c>
      <c r="E1608" s="57" t="s">
        <v>52</v>
      </c>
      <c r="F1608" s="58"/>
      <c r="G1608" s="58">
        <f>5.1-2</f>
        <v>3.0999999999999996</v>
      </c>
      <c r="H1608" s="58" t="s">
        <v>10</v>
      </c>
    </row>
    <row r="1609" spans="2:8" ht="15" customHeight="1" x14ac:dyDescent="0.3">
      <c r="B1609" s="86">
        <v>45769</v>
      </c>
      <c r="C1609" s="9" t="s">
        <v>73</v>
      </c>
      <c r="D1609" s="9" t="s">
        <v>71</v>
      </c>
      <c r="E1609" s="57" t="s">
        <v>74</v>
      </c>
      <c r="F1609" s="58"/>
      <c r="G1609" s="58">
        <v>1</v>
      </c>
      <c r="H1609" s="58" t="s">
        <v>10</v>
      </c>
    </row>
    <row r="1610" spans="2:8" ht="15" customHeight="1" x14ac:dyDescent="0.3">
      <c r="B1610" s="86">
        <v>45769</v>
      </c>
      <c r="C1610" s="8" t="s">
        <v>93</v>
      </c>
      <c r="D1610" s="9" t="s">
        <v>12</v>
      </c>
      <c r="E1610" s="57" t="s">
        <v>94</v>
      </c>
      <c r="F1610" s="58"/>
      <c r="G1610" s="58">
        <v>5</v>
      </c>
      <c r="H1610" s="58" t="s">
        <v>10</v>
      </c>
    </row>
    <row r="1611" spans="2:8" ht="15" customHeight="1" x14ac:dyDescent="0.3">
      <c r="B1611" s="86">
        <v>45769</v>
      </c>
      <c r="C1611" s="9" t="s">
        <v>70</v>
      </c>
      <c r="D1611" s="9" t="s">
        <v>71</v>
      </c>
      <c r="E1611" s="57" t="s">
        <v>72</v>
      </c>
      <c r="F1611" s="58"/>
      <c r="G1611" s="58">
        <v>1</v>
      </c>
      <c r="H1611" s="58" t="s">
        <v>10</v>
      </c>
    </row>
    <row r="1612" spans="2:8" ht="15" customHeight="1" x14ac:dyDescent="0.3">
      <c r="B1612" s="86">
        <v>45769</v>
      </c>
      <c r="C1612" s="9" t="s">
        <v>80</v>
      </c>
      <c r="D1612" s="9" t="s">
        <v>71</v>
      </c>
      <c r="E1612" s="57" t="s">
        <v>81</v>
      </c>
      <c r="F1612" s="58"/>
      <c r="G1612" s="58">
        <v>1</v>
      </c>
      <c r="H1612" s="58" t="s">
        <v>10</v>
      </c>
    </row>
    <row r="1613" spans="2:8" ht="15" customHeight="1" x14ac:dyDescent="0.3">
      <c r="B1613" s="86">
        <v>45769</v>
      </c>
      <c r="C1613" s="9" t="s">
        <v>61</v>
      </c>
      <c r="D1613" s="9" t="s">
        <v>20</v>
      </c>
      <c r="E1613" s="57" t="s">
        <v>62</v>
      </c>
      <c r="F1613" s="58"/>
      <c r="G1613" s="58">
        <v>2</v>
      </c>
      <c r="H1613" s="58" t="s">
        <v>10</v>
      </c>
    </row>
    <row r="1614" spans="2:8" ht="15" customHeight="1" x14ac:dyDescent="0.3">
      <c r="B1614" s="86">
        <v>45769</v>
      </c>
      <c r="C1614" s="14" t="s">
        <v>126</v>
      </c>
      <c r="D1614" s="9" t="s">
        <v>12</v>
      </c>
      <c r="E1614" s="57" t="s">
        <v>97</v>
      </c>
      <c r="F1614" s="58"/>
      <c r="G1614" s="58">
        <f>73-63</f>
        <v>10</v>
      </c>
      <c r="H1614" s="58" t="s">
        <v>10</v>
      </c>
    </row>
    <row r="1615" spans="2:8" ht="15" customHeight="1" x14ac:dyDescent="0.3">
      <c r="B1615" s="86">
        <v>45769</v>
      </c>
      <c r="C1615" s="18" t="s">
        <v>115</v>
      </c>
      <c r="D1615" s="18" t="s">
        <v>12</v>
      </c>
      <c r="E1615" s="18" t="s">
        <v>116</v>
      </c>
      <c r="F1615" s="58">
        <v>10</v>
      </c>
      <c r="G1615" s="58"/>
      <c r="H1615" s="58" t="s">
        <v>18</v>
      </c>
    </row>
    <row r="1616" spans="2:8" ht="15" customHeight="1" x14ac:dyDescent="0.3">
      <c r="B1616" s="86">
        <v>45770</v>
      </c>
      <c r="C1616" s="9" t="s">
        <v>7</v>
      </c>
      <c r="D1616" s="9" t="s">
        <v>8</v>
      </c>
      <c r="E1616" s="57" t="s">
        <v>9</v>
      </c>
      <c r="F1616" s="58"/>
      <c r="G1616" s="58">
        <v>1</v>
      </c>
      <c r="H1616" s="58" t="s">
        <v>10</v>
      </c>
    </row>
    <row r="1617" spans="2:8" ht="15" customHeight="1" x14ac:dyDescent="0.3">
      <c r="B1617" s="86">
        <v>45770</v>
      </c>
      <c r="C1617" s="8" t="s">
        <v>93</v>
      </c>
      <c r="D1617" s="9" t="s">
        <v>12</v>
      </c>
      <c r="E1617" s="57" t="s">
        <v>94</v>
      </c>
      <c r="F1617" s="58">
        <v>10</v>
      </c>
      <c r="G1617" s="58"/>
      <c r="H1617" s="58" t="s">
        <v>18</v>
      </c>
    </row>
    <row r="1618" spans="2:8" ht="15" customHeight="1" x14ac:dyDescent="0.3">
      <c r="B1618" s="86">
        <v>45771</v>
      </c>
      <c r="C1618" s="9" t="s">
        <v>57</v>
      </c>
      <c r="D1618" s="9" t="s">
        <v>12</v>
      </c>
      <c r="E1618" s="57" t="s">
        <v>58</v>
      </c>
      <c r="F1618" s="58"/>
      <c r="G1618" s="58">
        <f>80+160</f>
        <v>240</v>
      </c>
      <c r="H1618" s="58" t="s">
        <v>10</v>
      </c>
    </row>
    <row r="1619" spans="2:8" ht="15" customHeight="1" x14ac:dyDescent="0.3">
      <c r="B1619" s="86">
        <v>45771</v>
      </c>
      <c r="C1619" s="9" t="s">
        <v>43</v>
      </c>
      <c r="D1619" s="9" t="s">
        <v>20</v>
      </c>
      <c r="E1619" s="57" t="s">
        <v>44</v>
      </c>
      <c r="F1619" s="58"/>
      <c r="G1619" s="58">
        <f>2.5-0.38</f>
        <v>2.12</v>
      </c>
      <c r="H1619" s="58" t="s">
        <v>10</v>
      </c>
    </row>
    <row r="1620" spans="2:8" ht="15" customHeight="1" x14ac:dyDescent="0.3">
      <c r="B1620" s="86">
        <v>45771</v>
      </c>
      <c r="C1620" s="9" t="s">
        <v>39</v>
      </c>
      <c r="D1620" s="9" t="s">
        <v>20</v>
      </c>
      <c r="E1620" s="57" t="s">
        <v>40</v>
      </c>
      <c r="F1620" s="58"/>
      <c r="G1620" s="58">
        <v>10</v>
      </c>
      <c r="H1620" s="58" t="s">
        <v>10</v>
      </c>
    </row>
    <row r="1621" spans="2:8" ht="15" customHeight="1" x14ac:dyDescent="0.3">
      <c r="B1621" s="86">
        <v>45771</v>
      </c>
      <c r="C1621" s="9" t="s">
        <v>41</v>
      </c>
      <c r="D1621" s="9" t="s">
        <v>20</v>
      </c>
      <c r="E1621" s="57" t="s">
        <v>42</v>
      </c>
      <c r="F1621" s="58"/>
      <c r="G1621" s="58">
        <f>13-7</f>
        <v>6</v>
      </c>
      <c r="H1621" s="58" t="s">
        <v>10</v>
      </c>
    </row>
    <row r="1622" spans="2:8" ht="15" customHeight="1" x14ac:dyDescent="0.3">
      <c r="B1622" s="86">
        <v>45771</v>
      </c>
      <c r="C1622" s="14" t="s">
        <v>126</v>
      </c>
      <c r="D1622" s="14" t="s">
        <v>12</v>
      </c>
      <c r="E1622" s="18" t="s">
        <v>97</v>
      </c>
      <c r="F1622" s="58"/>
      <c r="G1622" s="58">
        <f>63-55</f>
        <v>8</v>
      </c>
      <c r="H1622" s="58" t="s">
        <v>10</v>
      </c>
    </row>
    <row r="1623" spans="2:8" ht="15" customHeight="1" x14ac:dyDescent="0.3">
      <c r="B1623" s="86">
        <v>45771</v>
      </c>
      <c r="C1623" s="9" t="s">
        <v>79</v>
      </c>
      <c r="D1623" s="9" t="s">
        <v>20</v>
      </c>
      <c r="E1623" s="57" t="s">
        <v>82</v>
      </c>
      <c r="F1623" s="58"/>
      <c r="G1623" s="58">
        <v>9.6000000000000002E-2</v>
      </c>
      <c r="H1623" s="58" t="s">
        <v>10</v>
      </c>
    </row>
    <row r="1624" spans="2:8" ht="15" customHeight="1" x14ac:dyDescent="0.3">
      <c r="B1624" s="86">
        <v>45771</v>
      </c>
      <c r="C1624" s="20" t="s">
        <v>26</v>
      </c>
      <c r="D1624" s="9" t="s">
        <v>20</v>
      </c>
      <c r="E1624" s="57" t="s">
        <v>27</v>
      </c>
      <c r="F1624" s="58"/>
      <c r="G1624" s="58">
        <v>0.125</v>
      </c>
      <c r="H1624" s="58" t="s">
        <v>10</v>
      </c>
    </row>
    <row r="1625" spans="2:8" ht="15" customHeight="1" x14ac:dyDescent="0.3">
      <c r="B1625" s="86">
        <v>45771</v>
      </c>
      <c r="C1625" s="18" t="s">
        <v>63</v>
      </c>
      <c r="D1625" s="9" t="s">
        <v>20</v>
      </c>
      <c r="E1625" s="57" t="s">
        <v>64</v>
      </c>
      <c r="F1625" s="58"/>
      <c r="G1625" s="58">
        <v>0.8</v>
      </c>
      <c r="H1625" s="58" t="s">
        <v>10</v>
      </c>
    </row>
    <row r="1626" spans="2:8" ht="15" customHeight="1" x14ac:dyDescent="0.3">
      <c r="B1626" s="86">
        <v>45771</v>
      </c>
      <c r="C1626" s="26" t="s">
        <v>172</v>
      </c>
      <c r="D1626" s="26" t="s">
        <v>12</v>
      </c>
      <c r="E1626" s="93" t="s">
        <v>173</v>
      </c>
      <c r="F1626" s="58"/>
      <c r="G1626" s="58">
        <v>5000</v>
      </c>
      <c r="H1626" s="58" t="s">
        <v>10</v>
      </c>
    </row>
    <row r="1627" spans="2:8" ht="15" customHeight="1" x14ac:dyDescent="0.3">
      <c r="B1627" s="86">
        <v>45772</v>
      </c>
      <c r="C1627" s="8" t="s">
        <v>93</v>
      </c>
      <c r="D1627" s="9" t="s">
        <v>12</v>
      </c>
      <c r="E1627" s="57" t="s">
        <v>94</v>
      </c>
      <c r="F1627" s="58"/>
      <c r="G1627" s="58">
        <v>6</v>
      </c>
      <c r="H1627" s="58" t="s">
        <v>10</v>
      </c>
    </row>
    <row r="1628" spans="2:8" ht="15" customHeight="1" x14ac:dyDescent="0.3">
      <c r="B1628" s="86">
        <v>45772</v>
      </c>
      <c r="C1628" s="9" t="s">
        <v>55</v>
      </c>
      <c r="D1628" s="9" t="s">
        <v>12</v>
      </c>
      <c r="E1628" s="57" t="s">
        <v>56</v>
      </c>
      <c r="F1628" s="58"/>
      <c r="G1628" s="58">
        <v>30</v>
      </c>
      <c r="H1628" s="58" t="s">
        <v>10</v>
      </c>
    </row>
    <row r="1629" spans="2:8" ht="15" customHeight="1" x14ac:dyDescent="0.3">
      <c r="B1629" s="86">
        <v>45772</v>
      </c>
      <c r="C1629" s="9" t="s">
        <v>45</v>
      </c>
      <c r="D1629" s="9" t="s">
        <v>12</v>
      </c>
      <c r="E1629" s="57" t="s">
        <v>59</v>
      </c>
      <c r="F1629" s="58"/>
      <c r="G1629" s="58">
        <v>80</v>
      </c>
      <c r="H1629" s="58" t="s">
        <v>10</v>
      </c>
    </row>
    <row r="1630" spans="2:8" ht="15" customHeight="1" x14ac:dyDescent="0.3">
      <c r="B1630" s="86">
        <v>45772</v>
      </c>
      <c r="C1630" s="9" t="s">
        <v>14</v>
      </c>
      <c r="D1630" s="9" t="s">
        <v>12</v>
      </c>
      <c r="E1630" s="57" t="s">
        <v>15</v>
      </c>
      <c r="F1630" s="58"/>
      <c r="G1630" s="58">
        <v>23</v>
      </c>
      <c r="H1630" s="58" t="s">
        <v>10</v>
      </c>
    </row>
    <row r="1631" spans="2:8" ht="15" customHeight="1" x14ac:dyDescent="0.3">
      <c r="B1631" s="86">
        <v>45772</v>
      </c>
      <c r="C1631" s="9" t="s">
        <v>45</v>
      </c>
      <c r="D1631" s="9" t="s">
        <v>12</v>
      </c>
      <c r="E1631" s="57" t="s">
        <v>59</v>
      </c>
      <c r="F1631" s="58">
        <v>786</v>
      </c>
      <c r="G1631" s="58"/>
      <c r="H1631" s="58" t="s">
        <v>18</v>
      </c>
    </row>
    <row r="1632" spans="2:8" ht="15" customHeight="1" x14ac:dyDescent="0.3">
      <c r="B1632" s="86">
        <v>45772</v>
      </c>
      <c r="C1632" s="9" t="s">
        <v>39</v>
      </c>
      <c r="D1632" s="9" t="s">
        <v>20</v>
      </c>
      <c r="E1632" s="57" t="s">
        <v>40</v>
      </c>
      <c r="F1632" s="58">
        <v>5</v>
      </c>
      <c r="G1632" s="58"/>
      <c r="H1632" s="58" t="s">
        <v>18</v>
      </c>
    </row>
    <row r="1633" spans="2:8" ht="15" customHeight="1" x14ac:dyDescent="0.3">
      <c r="B1633" s="86">
        <v>45772</v>
      </c>
      <c r="C1633" s="9" t="s">
        <v>41</v>
      </c>
      <c r="D1633" s="9" t="s">
        <v>20</v>
      </c>
      <c r="E1633" s="57" t="s">
        <v>42</v>
      </c>
      <c r="F1633" s="58">
        <v>5</v>
      </c>
      <c r="G1633" s="58"/>
      <c r="H1633" s="58" t="s">
        <v>18</v>
      </c>
    </row>
    <row r="1634" spans="2:8" ht="15" customHeight="1" x14ac:dyDescent="0.3">
      <c r="B1634" s="86">
        <v>45772</v>
      </c>
      <c r="C1634" s="39" t="s">
        <v>83</v>
      </c>
      <c r="D1634" s="39" t="s">
        <v>20</v>
      </c>
      <c r="E1634" s="18" t="s">
        <v>84</v>
      </c>
      <c r="F1634" s="58">
        <v>20</v>
      </c>
      <c r="G1634" s="58"/>
      <c r="H1634" s="58" t="s">
        <v>18</v>
      </c>
    </row>
    <row r="1635" spans="2:8" ht="15" customHeight="1" x14ac:dyDescent="0.3">
      <c r="B1635" s="86">
        <v>45772</v>
      </c>
      <c r="C1635" s="9" t="s">
        <v>43</v>
      </c>
      <c r="D1635" s="9" t="s">
        <v>20</v>
      </c>
      <c r="E1635" s="57" t="s">
        <v>44</v>
      </c>
      <c r="F1635" s="58">
        <v>1.569</v>
      </c>
      <c r="G1635" s="58"/>
      <c r="H1635" s="58" t="s">
        <v>18</v>
      </c>
    </row>
    <row r="1636" spans="2:8" ht="15" customHeight="1" x14ac:dyDescent="0.3">
      <c r="B1636" s="86">
        <v>45772</v>
      </c>
      <c r="C1636" s="8" t="s">
        <v>93</v>
      </c>
      <c r="D1636" s="9" t="s">
        <v>12</v>
      </c>
      <c r="E1636" s="57" t="s">
        <v>94</v>
      </c>
      <c r="F1636" s="58">
        <v>50</v>
      </c>
      <c r="G1636" s="58"/>
      <c r="H1636" s="58" t="s">
        <v>18</v>
      </c>
    </row>
    <row r="1637" spans="2:8" ht="15" customHeight="1" x14ac:dyDescent="0.3">
      <c r="B1637" s="86">
        <v>45772</v>
      </c>
      <c r="C1637" s="108" t="s">
        <v>175</v>
      </c>
      <c r="D1637" s="108" t="s">
        <v>20</v>
      </c>
      <c r="E1637" s="109" t="s">
        <v>176</v>
      </c>
      <c r="F1637" s="58">
        <v>1.2</v>
      </c>
      <c r="G1637" s="58"/>
      <c r="H1637" s="58" t="s">
        <v>18</v>
      </c>
    </row>
    <row r="1638" spans="2:8" ht="15" customHeight="1" x14ac:dyDescent="0.3">
      <c r="B1638" s="86">
        <v>45772</v>
      </c>
      <c r="C1638" s="42" t="s">
        <v>106</v>
      </c>
      <c r="D1638" s="42" t="s">
        <v>12</v>
      </c>
      <c r="E1638" s="18" t="s">
        <v>107</v>
      </c>
      <c r="F1638" s="58">
        <v>3</v>
      </c>
      <c r="G1638" s="58"/>
      <c r="H1638" s="58" t="s">
        <v>18</v>
      </c>
    </row>
    <row r="1639" spans="2:8" ht="15" customHeight="1" x14ac:dyDescent="0.3">
      <c r="B1639" s="86">
        <v>45773</v>
      </c>
      <c r="C1639" s="9" t="s">
        <v>7</v>
      </c>
      <c r="D1639" s="9" t="s">
        <v>8</v>
      </c>
      <c r="E1639" s="57" t="s">
        <v>9</v>
      </c>
      <c r="F1639" s="58"/>
      <c r="G1639" s="58">
        <v>1</v>
      </c>
      <c r="H1639" s="58" t="s">
        <v>10</v>
      </c>
    </row>
    <row r="1640" spans="2:8" ht="15" customHeight="1" x14ac:dyDescent="0.3">
      <c r="B1640" s="86">
        <v>45773</v>
      </c>
      <c r="C1640" s="9" t="s">
        <v>7</v>
      </c>
      <c r="D1640" s="9" t="s">
        <v>8</v>
      </c>
      <c r="E1640" s="57" t="s">
        <v>9</v>
      </c>
      <c r="F1640" s="58">
        <v>1</v>
      </c>
      <c r="G1640" s="58"/>
      <c r="H1640" s="58" t="s">
        <v>18</v>
      </c>
    </row>
    <row r="1641" spans="2:8" ht="15" customHeight="1" x14ac:dyDescent="0.3">
      <c r="B1641" s="86">
        <v>45773</v>
      </c>
      <c r="C1641" s="9" t="s">
        <v>30</v>
      </c>
      <c r="D1641" s="9" t="s">
        <v>8</v>
      </c>
      <c r="E1641" s="57" t="s">
        <v>31</v>
      </c>
      <c r="F1641" s="58">
        <v>1</v>
      </c>
      <c r="G1641" s="58"/>
      <c r="H1641" s="58" t="s">
        <v>18</v>
      </c>
    </row>
    <row r="1642" spans="2:8" ht="15" customHeight="1" x14ac:dyDescent="0.3">
      <c r="B1642" s="86">
        <v>45773</v>
      </c>
      <c r="C1642" s="9" t="s">
        <v>28</v>
      </c>
      <c r="D1642" s="9" t="s">
        <v>8</v>
      </c>
      <c r="E1642" s="57" t="s">
        <v>29</v>
      </c>
      <c r="F1642" s="58">
        <v>3</v>
      </c>
      <c r="G1642" s="58"/>
      <c r="H1642" s="58" t="s">
        <v>18</v>
      </c>
    </row>
    <row r="1643" spans="2:8" ht="15" customHeight="1" x14ac:dyDescent="0.3">
      <c r="B1643" s="86">
        <v>45774</v>
      </c>
      <c r="C1643" s="9" t="s">
        <v>51</v>
      </c>
      <c r="D1643" s="9" t="s">
        <v>20</v>
      </c>
      <c r="E1643" s="57" t="s">
        <v>52</v>
      </c>
      <c r="F1643" s="58"/>
      <c r="G1643" s="58">
        <v>1.9990000000000001</v>
      </c>
      <c r="H1643" s="58" t="s">
        <v>10</v>
      </c>
    </row>
    <row r="1644" spans="2:8" ht="15" customHeight="1" x14ac:dyDescent="0.3">
      <c r="B1644" s="86">
        <v>45774</v>
      </c>
      <c r="C1644" s="9" t="s">
        <v>30</v>
      </c>
      <c r="D1644" s="9" t="s">
        <v>8</v>
      </c>
      <c r="E1644" s="57" t="s">
        <v>31</v>
      </c>
      <c r="F1644" s="58"/>
      <c r="G1644" s="58">
        <v>1</v>
      </c>
      <c r="H1644" s="58" t="s">
        <v>10</v>
      </c>
    </row>
    <row r="1645" spans="2:8" ht="15" customHeight="1" x14ac:dyDescent="0.3">
      <c r="B1645" s="86">
        <v>45774</v>
      </c>
      <c r="C1645" s="9" t="s">
        <v>28</v>
      </c>
      <c r="D1645" s="9" t="s">
        <v>8</v>
      </c>
      <c r="E1645" s="57" t="s">
        <v>29</v>
      </c>
      <c r="F1645" s="58"/>
      <c r="G1645" s="58">
        <v>3</v>
      </c>
      <c r="H1645" s="58" t="s">
        <v>10</v>
      </c>
    </row>
    <row r="1646" spans="2:8" ht="15" customHeight="1" x14ac:dyDescent="0.3">
      <c r="B1646" s="86">
        <v>45775</v>
      </c>
      <c r="C1646" s="9" t="s">
        <v>7</v>
      </c>
      <c r="D1646" s="9" t="s">
        <v>8</v>
      </c>
      <c r="E1646" s="57" t="s">
        <v>9</v>
      </c>
      <c r="F1646" s="58"/>
      <c r="G1646" s="58">
        <v>1</v>
      </c>
      <c r="H1646" s="58" t="s">
        <v>10</v>
      </c>
    </row>
    <row r="1647" spans="2:8" ht="15" customHeight="1" x14ac:dyDescent="0.3">
      <c r="B1647" s="86">
        <v>45775</v>
      </c>
      <c r="C1647" s="9" t="s">
        <v>43</v>
      </c>
      <c r="D1647" s="9" t="s">
        <v>20</v>
      </c>
      <c r="E1647" s="57" t="s">
        <v>44</v>
      </c>
      <c r="F1647" s="58"/>
      <c r="G1647" s="58">
        <v>1.4</v>
      </c>
      <c r="H1647" s="58" t="s">
        <v>10</v>
      </c>
    </row>
    <row r="1648" spans="2:8" ht="15" customHeight="1" x14ac:dyDescent="0.3">
      <c r="B1648" s="86">
        <v>45775</v>
      </c>
      <c r="C1648" s="39" t="s">
        <v>90</v>
      </c>
      <c r="D1648" s="9" t="s">
        <v>20</v>
      </c>
      <c r="E1648" s="57" t="s">
        <v>91</v>
      </c>
      <c r="F1648" s="58">
        <v>10</v>
      </c>
      <c r="G1648" s="58"/>
      <c r="H1648" s="58" t="s">
        <v>18</v>
      </c>
    </row>
    <row r="1649" spans="2:8" ht="15" customHeight="1" x14ac:dyDescent="0.3">
      <c r="B1649" s="86">
        <v>45775</v>
      </c>
      <c r="C1649" s="39" t="s">
        <v>83</v>
      </c>
      <c r="D1649" s="39" t="s">
        <v>20</v>
      </c>
      <c r="E1649" s="18" t="s">
        <v>84</v>
      </c>
      <c r="F1649" s="58"/>
      <c r="G1649" s="58">
        <v>20</v>
      </c>
      <c r="H1649" s="58" t="s">
        <v>10</v>
      </c>
    </row>
    <row r="1650" spans="2:8" ht="15" customHeight="1" x14ac:dyDescent="0.3">
      <c r="B1650" s="86">
        <v>45775</v>
      </c>
      <c r="C1650" s="18" t="s">
        <v>115</v>
      </c>
      <c r="D1650" s="18" t="s">
        <v>12</v>
      </c>
      <c r="E1650" s="18" t="s">
        <v>116</v>
      </c>
      <c r="F1650" s="58"/>
      <c r="G1650" s="58">
        <v>2</v>
      </c>
      <c r="H1650" s="58" t="s">
        <v>10</v>
      </c>
    </row>
    <row r="1651" spans="2:8" ht="15" customHeight="1" x14ac:dyDescent="0.3">
      <c r="B1651" s="86">
        <v>45775</v>
      </c>
      <c r="C1651" s="9" t="s">
        <v>51</v>
      </c>
      <c r="D1651" s="9" t="s">
        <v>20</v>
      </c>
      <c r="E1651" s="57" t="s">
        <v>52</v>
      </c>
      <c r="F1651" s="58">
        <v>5</v>
      </c>
      <c r="G1651" s="58"/>
      <c r="H1651" s="58" t="s">
        <v>18</v>
      </c>
    </row>
    <row r="1652" spans="2:8" ht="15" customHeight="1" x14ac:dyDescent="0.3">
      <c r="B1652" s="86">
        <v>45777</v>
      </c>
      <c r="C1652" s="9" t="s">
        <v>43</v>
      </c>
      <c r="D1652" s="9" t="s">
        <v>20</v>
      </c>
      <c r="E1652" s="57" t="s">
        <v>44</v>
      </c>
      <c r="F1652" s="58">
        <v>1.569</v>
      </c>
      <c r="G1652" s="58"/>
      <c r="H1652" s="58" t="s">
        <v>18</v>
      </c>
    </row>
    <row r="1653" spans="2:8" ht="15" customHeight="1" x14ac:dyDescent="0.3">
      <c r="B1653" s="86">
        <v>45777</v>
      </c>
      <c r="C1653" s="9" t="s">
        <v>7</v>
      </c>
      <c r="D1653" s="9" t="s">
        <v>8</v>
      </c>
      <c r="E1653" s="57" t="s">
        <v>9</v>
      </c>
      <c r="F1653" s="58">
        <v>2</v>
      </c>
      <c r="G1653" s="58"/>
      <c r="H1653" s="58" t="s">
        <v>18</v>
      </c>
    </row>
    <row r="1654" spans="2:8" ht="15" customHeight="1" x14ac:dyDescent="0.3">
      <c r="B1654" s="86">
        <v>45777</v>
      </c>
      <c r="C1654" s="9" t="s">
        <v>30</v>
      </c>
      <c r="D1654" s="9" t="s">
        <v>8</v>
      </c>
      <c r="E1654" s="57" t="s">
        <v>31</v>
      </c>
      <c r="F1654" s="58">
        <v>1</v>
      </c>
      <c r="G1654" s="58"/>
      <c r="H1654" s="58" t="s">
        <v>18</v>
      </c>
    </row>
    <row r="1655" spans="2:8" ht="15" customHeight="1" x14ac:dyDescent="0.3">
      <c r="B1655" s="86">
        <v>45777</v>
      </c>
      <c r="C1655" s="9" t="s">
        <v>28</v>
      </c>
      <c r="D1655" s="9" t="s">
        <v>8</v>
      </c>
      <c r="E1655" s="57" t="s">
        <v>29</v>
      </c>
      <c r="F1655" s="58">
        <v>3</v>
      </c>
      <c r="G1655" s="58"/>
      <c r="H1655" s="58" t="s">
        <v>18</v>
      </c>
    </row>
    <row r="1656" spans="2:8" ht="15" customHeight="1" x14ac:dyDescent="0.3">
      <c r="B1656" s="86">
        <v>45777</v>
      </c>
      <c r="C1656" s="9" t="s">
        <v>75</v>
      </c>
      <c r="D1656" s="9" t="s">
        <v>8</v>
      </c>
      <c r="E1656" s="57" t="s">
        <v>76</v>
      </c>
      <c r="F1656" s="58">
        <v>1</v>
      </c>
      <c r="G1656" s="58"/>
      <c r="H1656" s="58" t="s">
        <v>18</v>
      </c>
    </row>
    <row r="1657" spans="2:8" ht="15" customHeight="1" x14ac:dyDescent="0.3">
      <c r="B1657" s="86">
        <v>45777</v>
      </c>
      <c r="C1657" s="9" t="s">
        <v>51</v>
      </c>
      <c r="D1657" s="9" t="s">
        <v>20</v>
      </c>
      <c r="E1657" s="57" t="s">
        <v>52</v>
      </c>
      <c r="F1657" s="58"/>
      <c r="G1657" s="58">
        <v>0.77</v>
      </c>
      <c r="H1657" s="58" t="s">
        <v>10</v>
      </c>
    </row>
    <row r="1658" spans="2:8" ht="15" customHeight="1" x14ac:dyDescent="0.3">
      <c r="B1658" s="86">
        <v>45778</v>
      </c>
      <c r="C1658" s="9" t="s">
        <v>11</v>
      </c>
      <c r="D1658" s="9" t="s">
        <v>12</v>
      </c>
      <c r="E1658" s="18" t="s">
        <v>13</v>
      </c>
      <c r="F1658" s="58"/>
      <c r="G1658" s="58">
        <v>20</v>
      </c>
      <c r="H1658" s="58" t="s">
        <v>10</v>
      </c>
    </row>
    <row r="1659" spans="2:8" ht="15" customHeight="1" x14ac:dyDescent="0.3">
      <c r="B1659" s="86">
        <v>45778</v>
      </c>
      <c r="C1659" s="9" t="s">
        <v>7</v>
      </c>
      <c r="D1659" s="9" t="s">
        <v>8</v>
      </c>
      <c r="E1659" s="57" t="s">
        <v>9</v>
      </c>
      <c r="F1659" s="58"/>
      <c r="G1659" s="58">
        <v>1</v>
      </c>
      <c r="H1659" s="58" t="s">
        <v>10</v>
      </c>
    </row>
    <row r="1660" spans="2:8" ht="15" customHeight="1" x14ac:dyDescent="0.3">
      <c r="B1660" s="86">
        <v>45778</v>
      </c>
      <c r="C1660" s="9" t="s">
        <v>28</v>
      </c>
      <c r="D1660" s="9" t="s">
        <v>8</v>
      </c>
      <c r="E1660" s="57" t="s">
        <v>29</v>
      </c>
      <c r="F1660" s="58"/>
      <c r="G1660" s="58">
        <v>1</v>
      </c>
      <c r="H1660" s="58" t="s">
        <v>10</v>
      </c>
    </row>
    <row r="1661" spans="2:8" ht="15" customHeight="1" x14ac:dyDescent="0.3">
      <c r="B1661" s="86">
        <v>45778</v>
      </c>
      <c r="C1661" s="9" t="s">
        <v>75</v>
      </c>
      <c r="D1661" s="9" t="s">
        <v>8</v>
      </c>
      <c r="E1661" s="57" t="s">
        <v>76</v>
      </c>
      <c r="F1661" s="58"/>
      <c r="G1661" s="58">
        <v>1</v>
      </c>
      <c r="H1661" s="58" t="s">
        <v>10</v>
      </c>
    </row>
    <row r="1662" spans="2:8" ht="15" customHeight="1" x14ac:dyDescent="0.3">
      <c r="B1662" s="86">
        <v>45779</v>
      </c>
      <c r="C1662" s="9" t="s">
        <v>51</v>
      </c>
      <c r="D1662" s="9" t="s">
        <v>20</v>
      </c>
      <c r="E1662" s="57" t="s">
        <v>52</v>
      </c>
      <c r="F1662" s="58"/>
      <c r="G1662" s="58">
        <v>3</v>
      </c>
      <c r="H1662" s="58" t="s">
        <v>10</v>
      </c>
    </row>
    <row r="1663" spans="2:8" ht="15" customHeight="1" x14ac:dyDescent="0.3">
      <c r="B1663" s="86">
        <v>45779</v>
      </c>
      <c r="C1663" s="9" t="s">
        <v>43</v>
      </c>
      <c r="D1663" s="9" t="s">
        <v>20</v>
      </c>
      <c r="E1663" s="57" t="s">
        <v>44</v>
      </c>
      <c r="F1663" s="58">
        <v>5</v>
      </c>
      <c r="G1663" s="58"/>
      <c r="H1663" s="58" t="s">
        <v>18</v>
      </c>
    </row>
    <row r="1664" spans="2:8" ht="15" customHeight="1" x14ac:dyDescent="0.3">
      <c r="B1664" s="86">
        <v>45779</v>
      </c>
      <c r="C1664" s="9" t="s">
        <v>30</v>
      </c>
      <c r="D1664" s="9" t="s">
        <v>8</v>
      </c>
      <c r="E1664" s="57" t="s">
        <v>31</v>
      </c>
      <c r="F1664" s="58"/>
      <c r="G1664" s="58">
        <v>1</v>
      </c>
      <c r="H1664" s="58" t="s">
        <v>10</v>
      </c>
    </row>
    <row r="1665" spans="2:8" ht="15" customHeight="1" x14ac:dyDescent="0.3">
      <c r="B1665" s="86">
        <v>45779</v>
      </c>
      <c r="C1665" s="9" t="s">
        <v>43</v>
      </c>
      <c r="D1665" s="9" t="s">
        <v>20</v>
      </c>
      <c r="E1665" s="57" t="s">
        <v>44</v>
      </c>
      <c r="F1665" s="58"/>
      <c r="G1665" s="58">
        <v>2</v>
      </c>
      <c r="H1665" s="58" t="s">
        <v>10</v>
      </c>
    </row>
    <row r="1666" spans="2:8" ht="15" customHeight="1" x14ac:dyDescent="0.3">
      <c r="B1666" s="86">
        <v>45779</v>
      </c>
      <c r="C1666" s="9" t="s">
        <v>73</v>
      </c>
      <c r="D1666" s="9"/>
      <c r="E1666" s="57" t="s">
        <v>74</v>
      </c>
      <c r="F1666" s="58"/>
      <c r="G1666" s="58">
        <v>1</v>
      </c>
      <c r="H1666" s="58" t="s">
        <v>10</v>
      </c>
    </row>
    <row r="1667" spans="2:8" ht="15" customHeight="1" x14ac:dyDescent="0.3">
      <c r="B1667" s="86">
        <v>45779</v>
      </c>
      <c r="C1667" s="9" t="s">
        <v>51</v>
      </c>
      <c r="D1667" s="9" t="s">
        <v>20</v>
      </c>
      <c r="E1667" s="57" t="s">
        <v>52</v>
      </c>
      <c r="F1667" s="58">
        <v>3.7</v>
      </c>
      <c r="G1667" s="58"/>
      <c r="H1667" s="58" t="s">
        <v>18</v>
      </c>
    </row>
    <row r="1668" spans="2:8" ht="15" customHeight="1" x14ac:dyDescent="0.3">
      <c r="B1668" s="86">
        <v>45779</v>
      </c>
      <c r="C1668" s="9" t="s">
        <v>41</v>
      </c>
      <c r="D1668" s="9" t="s">
        <v>20</v>
      </c>
      <c r="E1668" s="57" t="s">
        <v>42</v>
      </c>
      <c r="F1668" s="58"/>
      <c r="G1668" s="58">
        <f>12-8</f>
        <v>4</v>
      </c>
      <c r="H1668" s="58" t="s">
        <v>10</v>
      </c>
    </row>
    <row r="1669" spans="2:8" ht="15" customHeight="1" x14ac:dyDescent="0.3">
      <c r="B1669" s="86">
        <v>45779</v>
      </c>
      <c r="C1669" s="9" t="s">
        <v>39</v>
      </c>
      <c r="D1669" s="9" t="s">
        <v>20</v>
      </c>
      <c r="E1669" s="57" t="s">
        <v>40</v>
      </c>
      <c r="F1669" s="58"/>
      <c r="G1669" s="58">
        <v>3</v>
      </c>
      <c r="H1669" s="58" t="s">
        <v>10</v>
      </c>
    </row>
    <row r="1670" spans="2:8" ht="15" customHeight="1" x14ac:dyDescent="0.3">
      <c r="B1670" s="86">
        <v>45779</v>
      </c>
      <c r="C1670" s="8" t="s">
        <v>93</v>
      </c>
      <c r="D1670" s="9" t="s">
        <v>12</v>
      </c>
      <c r="E1670" s="57" t="s">
        <v>94</v>
      </c>
      <c r="F1670" s="58"/>
      <c r="G1670" s="58">
        <f>54-48</f>
        <v>6</v>
      </c>
      <c r="H1670" s="58" t="s">
        <v>10</v>
      </c>
    </row>
    <row r="1671" spans="2:8" ht="15" customHeight="1" x14ac:dyDescent="0.3">
      <c r="B1671" s="86">
        <v>45779</v>
      </c>
      <c r="C1671" s="14" t="s">
        <v>126</v>
      </c>
      <c r="D1671" s="14" t="s">
        <v>20</v>
      </c>
      <c r="E1671" s="18" t="s">
        <v>97</v>
      </c>
      <c r="F1671" s="58"/>
      <c r="G1671" s="58">
        <v>16</v>
      </c>
      <c r="H1671" s="58" t="s">
        <v>10</v>
      </c>
    </row>
    <row r="1672" spans="2:8" ht="15" customHeight="1" x14ac:dyDescent="0.3">
      <c r="B1672" s="86">
        <v>45779</v>
      </c>
      <c r="C1672" s="39" t="s">
        <v>90</v>
      </c>
      <c r="D1672" s="9" t="s">
        <v>20</v>
      </c>
      <c r="E1672" s="57" t="s">
        <v>91</v>
      </c>
      <c r="F1672" s="58"/>
      <c r="G1672" s="58">
        <v>2.5</v>
      </c>
      <c r="H1672" s="58" t="s">
        <v>10</v>
      </c>
    </row>
    <row r="1673" spans="2:8" ht="15" customHeight="1" x14ac:dyDescent="0.3">
      <c r="B1673" s="86">
        <v>45780</v>
      </c>
      <c r="C1673" s="9" t="s">
        <v>45</v>
      </c>
      <c r="D1673" s="9" t="s">
        <v>12</v>
      </c>
      <c r="E1673" s="57" t="s">
        <v>59</v>
      </c>
      <c r="F1673" s="58"/>
      <c r="G1673" s="58">
        <v>34</v>
      </c>
      <c r="H1673" s="58" t="s">
        <v>10</v>
      </c>
    </row>
    <row r="1674" spans="2:8" ht="15" customHeight="1" x14ac:dyDescent="0.3">
      <c r="B1674" s="86">
        <v>45780</v>
      </c>
      <c r="C1674" s="37" t="s">
        <v>167</v>
      </c>
      <c r="D1674" s="37" t="s">
        <v>12</v>
      </c>
      <c r="E1674" s="93" t="s">
        <v>168</v>
      </c>
      <c r="F1674" s="58"/>
      <c r="G1674" s="58">
        <v>5</v>
      </c>
      <c r="H1674" s="58" t="s">
        <v>10</v>
      </c>
    </row>
    <row r="1675" spans="2:8" ht="15" customHeight="1" x14ac:dyDescent="0.3">
      <c r="B1675" s="86">
        <v>45780</v>
      </c>
      <c r="C1675" s="8" t="s">
        <v>93</v>
      </c>
      <c r="D1675" s="9" t="s">
        <v>12</v>
      </c>
      <c r="E1675" s="57" t="s">
        <v>94</v>
      </c>
      <c r="F1675" s="58"/>
      <c r="G1675" s="58">
        <v>5</v>
      </c>
      <c r="H1675" s="58" t="s">
        <v>10</v>
      </c>
    </row>
    <row r="1676" spans="2:8" ht="15" customHeight="1" x14ac:dyDescent="0.3">
      <c r="B1676" s="86">
        <v>45780</v>
      </c>
      <c r="C1676" s="9" t="s">
        <v>14</v>
      </c>
      <c r="D1676" s="9" t="s">
        <v>12</v>
      </c>
      <c r="E1676" s="57" t="s">
        <v>15</v>
      </c>
      <c r="F1676" s="58"/>
      <c r="G1676" s="58">
        <v>23</v>
      </c>
      <c r="H1676" s="58" t="s">
        <v>10</v>
      </c>
    </row>
    <row r="1677" spans="2:8" ht="15" customHeight="1" x14ac:dyDescent="0.3">
      <c r="B1677" s="86">
        <v>45780</v>
      </c>
      <c r="C1677" s="9" t="s">
        <v>39</v>
      </c>
      <c r="D1677" s="9" t="s">
        <v>20</v>
      </c>
      <c r="E1677" s="57" t="s">
        <v>40</v>
      </c>
      <c r="F1677" s="58">
        <v>5</v>
      </c>
      <c r="G1677" s="58"/>
      <c r="H1677" s="58" t="s">
        <v>18</v>
      </c>
    </row>
    <row r="1678" spans="2:8" ht="15" customHeight="1" x14ac:dyDescent="0.3">
      <c r="B1678" s="86">
        <v>45780</v>
      </c>
      <c r="C1678" s="9" t="s">
        <v>41</v>
      </c>
      <c r="D1678" s="9" t="s">
        <v>20</v>
      </c>
      <c r="E1678" s="57" t="s">
        <v>42</v>
      </c>
      <c r="F1678" s="58">
        <v>5</v>
      </c>
      <c r="G1678" s="58"/>
      <c r="H1678" s="58" t="s">
        <v>18</v>
      </c>
    </row>
    <row r="1679" spans="2:8" ht="15" customHeight="1" x14ac:dyDescent="0.3">
      <c r="B1679" s="86">
        <v>45780</v>
      </c>
      <c r="C1679" s="42" t="s">
        <v>106</v>
      </c>
      <c r="D1679" s="42" t="s">
        <v>12</v>
      </c>
      <c r="E1679" s="18" t="s">
        <v>107</v>
      </c>
      <c r="F1679" s="58"/>
      <c r="G1679" s="58">
        <v>1</v>
      </c>
      <c r="H1679" s="58" t="s">
        <v>10</v>
      </c>
    </row>
    <row r="1680" spans="2:8" ht="15" customHeight="1" x14ac:dyDescent="0.3">
      <c r="B1680" s="86">
        <v>45780</v>
      </c>
      <c r="C1680" s="9" t="s">
        <v>7</v>
      </c>
      <c r="D1680" s="9" t="s">
        <v>8</v>
      </c>
      <c r="E1680" s="57" t="s">
        <v>9</v>
      </c>
      <c r="F1680" s="58"/>
      <c r="G1680" s="58">
        <v>1</v>
      </c>
      <c r="H1680" s="58" t="s">
        <v>10</v>
      </c>
    </row>
    <row r="1681" spans="2:8" ht="15" customHeight="1" x14ac:dyDescent="0.3">
      <c r="B1681" s="86">
        <v>45780</v>
      </c>
      <c r="C1681" s="9" t="s">
        <v>28</v>
      </c>
      <c r="D1681" s="9" t="s">
        <v>8</v>
      </c>
      <c r="E1681" s="57" t="s">
        <v>29</v>
      </c>
      <c r="F1681" s="58"/>
      <c r="G1681" s="58">
        <v>2</v>
      </c>
      <c r="H1681" s="58" t="s">
        <v>10</v>
      </c>
    </row>
    <row r="1682" spans="2:8" ht="15" customHeight="1" x14ac:dyDescent="0.3">
      <c r="B1682" s="86">
        <v>45780</v>
      </c>
      <c r="C1682" s="18" t="s">
        <v>178</v>
      </c>
      <c r="D1682" s="18" t="s">
        <v>20</v>
      </c>
      <c r="E1682" s="18" t="s">
        <v>177</v>
      </c>
      <c r="F1682" s="58">
        <v>4</v>
      </c>
      <c r="G1682" s="58"/>
      <c r="H1682" s="58" t="s">
        <v>18</v>
      </c>
    </row>
    <row r="1683" spans="2:8" ht="15" customHeight="1" x14ac:dyDescent="0.3">
      <c r="B1683" s="86">
        <v>45782</v>
      </c>
      <c r="C1683" s="9" t="s">
        <v>51</v>
      </c>
      <c r="D1683" s="9" t="s">
        <v>20</v>
      </c>
      <c r="E1683" s="57" t="s">
        <v>52</v>
      </c>
      <c r="F1683" s="58"/>
      <c r="G1683" s="58">
        <f>4.9-2.7</f>
        <v>2.2000000000000002</v>
      </c>
      <c r="H1683" s="58" t="s">
        <v>10</v>
      </c>
    </row>
    <row r="1684" spans="2:8" ht="15" customHeight="1" x14ac:dyDescent="0.3">
      <c r="B1684" s="86">
        <v>45782</v>
      </c>
      <c r="C1684" s="9" t="s">
        <v>77</v>
      </c>
      <c r="D1684" s="9" t="s">
        <v>20</v>
      </c>
      <c r="E1684" s="57" t="s">
        <v>78</v>
      </c>
      <c r="F1684" s="58"/>
      <c r="G1684" s="58">
        <f>1.9-1.1</f>
        <v>0.79999999999999982</v>
      </c>
      <c r="H1684" s="58" t="s">
        <v>10</v>
      </c>
    </row>
    <row r="1685" spans="2:8" ht="15" customHeight="1" x14ac:dyDescent="0.3">
      <c r="B1685" s="86">
        <v>45782</v>
      </c>
      <c r="C1685" s="9" t="s">
        <v>39</v>
      </c>
      <c r="D1685" s="9" t="s">
        <v>20</v>
      </c>
      <c r="E1685" s="57" t="s">
        <v>40</v>
      </c>
      <c r="F1685" s="58"/>
      <c r="G1685" s="58">
        <v>10.52</v>
      </c>
      <c r="H1685" s="58" t="s">
        <v>10</v>
      </c>
    </row>
    <row r="1686" spans="2:8" ht="15" customHeight="1" x14ac:dyDescent="0.3">
      <c r="B1686" s="86">
        <v>45782</v>
      </c>
      <c r="C1686" s="9" t="s">
        <v>41</v>
      </c>
      <c r="D1686" s="9" t="s">
        <v>20</v>
      </c>
      <c r="E1686" s="57" t="s">
        <v>42</v>
      </c>
      <c r="F1686" s="58"/>
      <c r="G1686" s="58">
        <v>3.55</v>
      </c>
      <c r="H1686" s="58" t="s">
        <v>10</v>
      </c>
    </row>
    <row r="1687" spans="2:8" ht="15" customHeight="1" x14ac:dyDescent="0.3">
      <c r="B1687" s="86">
        <v>45782</v>
      </c>
      <c r="C1687" s="26" t="s">
        <v>101</v>
      </c>
      <c r="D1687" s="9" t="s">
        <v>20</v>
      </c>
      <c r="E1687" s="57" t="s">
        <v>102</v>
      </c>
      <c r="F1687" s="58"/>
      <c r="G1687" s="58">
        <v>1</v>
      </c>
      <c r="H1687" s="58" t="s">
        <v>10</v>
      </c>
    </row>
    <row r="1688" spans="2:8" ht="15" customHeight="1" x14ac:dyDescent="0.3">
      <c r="B1688" s="86">
        <v>45782</v>
      </c>
      <c r="C1688" s="18" t="s">
        <v>178</v>
      </c>
      <c r="D1688" s="18" t="s">
        <v>12</v>
      </c>
      <c r="E1688" s="18" t="s">
        <v>177</v>
      </c>
      <c r="F1688" s="58"/>
      <c r="G1688" s="58">
        <v>1</v>
      </c>
      <c r="H1688" s="58" t="s">
        <v>10</v>
      </c>
    </row>
    <row r="1689" spans="2:8" ht="15" customHeight="1" x14ac:dyDescent="0.3">
      <c r="B1689" s="86">
        <v>45782</v>
      </c>
      <c r="C1689" s="18" t="s">
        <v>115</v>
      </c>
      <c r="D1689" s="18" t="s">
        <v>12</v>
      </c>
      <c r="E1689" s="18" t="s">
        <v>116</v>
      </c>
      <c r="F1689" s="58"/>
      <c r="G1689" s="58">
        <v>1</v>
      </c>
      <c r="H1689" s="58" t="s">
        <v>10</v>
      </c>
    </row>
    <row r="1690" spans="2:8" ht="15" customHeight="1" x14ac:dyDescent="0.3">
      <c r="B1690" s="86">
        <v>45782</v>
      </c>
      <c r="C1690" s="14" t="s">
        <v>61</v>
      </c>
      <c r="D1690" s="14" t="s">
        <v>20</v>
      </c>
      <c r="E1690" s="18" t="s">
        <v>62</v>
      </c>
      <c r="F1690" s="58"/>
      <c r="G1690" s="58">
        <v>5</v>
      </c>
      <c r="H1690" s="58" t="s">
        <v>10</v>
      </c>
    </row>
    <row r="1691" spans="2:8" ht="15" customHeight="1" x14ac:dyDescent="0.3">
      <c r="B1691" s="86">
        <v>45782</v>
      </c>
      <c r="C1691" s="18" t="s">
        <v>32</v>
      </c>
      <c r="D1691" s="18" t="s">
        <v>12</v>
      </c>
      <c r="E1691" s="18" t="s">
        <v>34</v>
      </c>
      <c r="F1691" s="58"/>
      <c r="G1691" s="58">
        <v>2</v>
      </c>
      <c r="H1691" s="58" t="s">
        <v>10</v>
      </c>
    </row>
    <row r="1692" spans="2:8" ht="15" customHeight="1" x14ac:dyDescent="0.3">
      <c r="B1692" s="86">
        <v>45782</v>
      </c>
      <c r="C1692" s="18" t="s">
        <v>117</v>
      </c>
      <c r="D1692" s="18" t="s">
        <v>12</v>
      </c>
      <c r="E1692" s="18" t="s">
        <v>118</v>
      </c>
      <c r="F1692" s="58"/>
      <c r="G1692" s="58">
        <v>1</v>
      </c>
      <c r="H1692" s="58" t="s">
        <v>10</v>
      </c>
    </row>
    <row r="1693" spans="2:8" ht="15" customHeight="1" x14ac:dyDescent="0.3">
      <c r="B1693" s="86">
        <v>45782</v>
      </c>
      <c r="C1693" s="18" t="s">
        <v>32</v>
      </c>
      <c r="D1693" s="18" t="s">
        <v>12</v>
      </c>
      <c r="E1693" s="18" t="s">
        <v>34</v>
      </c>
      <c r="F1693" s="58">
        <v>1</v>
      </c>
      <c r="G1693" s="58"/>
      <c r="H1693" s="58" t="s">
        <v>18</v>
      </c>
    </row>
    <row r="1694" spans="2:8" ht="15" customHeight="1" x14ac:dyDescent="0.3">
      <c r="B1694" s="86">
        <v>45782</v>
      </c>
      <c r="C1694" s="18" t="s">
        <v>117</v>
      </c>
      <c r="D1694" s="18" t="s">
        <v>12</v>
      </c>
      <c r="E1694" s="18" t="s">
        <v>118</v>
      </c>
      <c r="F1694" s="58">
        <v>1</v>
      </c>
      <c r="G1694" s="58"/>
      <c r="H1694" s="58" t="s">
        <v>18</v>
      </c>
    </row>
    <row r="1695" spans="2:8" ht="15" customHeight="1" x14ac:dyDescent="0.3">
      <c r="B1695" s="86">
        <v>45782</v>
      </c>
      <c r="C1695" s="9" t="s">
        <v>39</v>
      </c>
      <c r="D1695" s="9" t="s">
        <v>20</v>
      </c>
      <c r="E1695" s="57" t="s">
        <v>40</v>
      </c>
      <c r="F1695" s="58">
        <v>5</v>
      </c>
      <c r="G1695" s="58"/>
      <c r="H1695" s="58" t="s">
        <v>18</v>
      </c>
    </row>
    <row r="1696" spans="2:8" ht="15" customHeight="1" x14ac:dyDescent="0.3">
      <c r="B1696" s="86">
        <v>45782</v>
      </c>
      <c r="C1696" s="9" t="s">
        <v>41</v>
      </c>
      <c r="D1696" s="9" t="s">
        <v>20</v>
      </c>
      <c r="E1696" s="57" t="s">
        <v>42</v>
      </c>
      <c r="F1696" s="58">
        <v>5</v>
      </c>
      <c r="G1696" s="58"/>
      <c r="H1696" s="58" t="s">
        <v>18</v>
      </c>
    </row>
    <row r="1697" spans="2:8" ht="15" customHeight="1" x14ac:dyDescent="0.3">
      <c r="B1697" s="86">
        <v>45784</v>
      </c>
      <c r="C1697" s="26" t="s">
        <v>68</v>
      </c>
      <c r="D1697" s="26" t="s">
        <v>12</v>
      </c>
      <c r="E1697" s="18" t="s">
        <v>69</v>
      </c>
      <c r="F1697" s="58">
        <v>8</v>
      </c>
      <c r="G1697" s="58"/>
      <c r="H1697" s="58" t="s">
        <v>18</v>
      </c>
    </row>
    <row r="1698" spans="2:8" ht="15" customHeight="1" x14ac:dyDescent="0.3">
      <c r="B1698" s="86">
        <v>45784</v>
      </c>
      <c r="C1698" s="18" t="s">
        <v>66</v>
      </c>
      <c r="D1698" s="18" t="s">
        <v>12</v>
      </c>
      <c r="E1698" s="18" t="s">
        <v>67</v>
      </c>
      <c r="F1698" s="58">
        <v>6</v>
      </c>
      <c r="G1698" s="58"/>
      <c r="H1698" s="58" t="s">
        <v>18</v>
      </c>
    </row>
    <row r="1699" spans="2:8" ht="15" customHeight="1" x14ac:dyDescent="0.3">
      <c r="B1699" s="86">
        <v>45784</v>
      </c>
      <c r="C1699" s="26" t="s">
        <v>101</v>
      </c>
      <c r="D1699" s="26" t="s">
        <v>8</v>
      </c>
      <c r="E1699" s="18" t="s">
        <v>102</v>
      </c>
      <c r="F1699" s="58">
        <v>1</v>
      </c>
      <c r="G1699" s="58"/>
      <c r="H1699" s="58" t="s">
        <v>18</v>
      </c>
    </row>
    <row r="1700" spans="2:8" ht="15" customHeight="1" x14ac:dyDescent="0.3">
      <c r="B1700" s="86">
        <v>45785</v>
      </c>
      <c r="C1700" s="9" t="s">
        <v>7</v>
      </c>
      <c r="D1700" s="26" t="s">
        <v>8</v>
      </c>
      <c r="E1700" s="57" t="s">
        <v>9</v>
      </c>
      <c r="F1700" s="58">
        <v>1</v>
      </c>
      <c r="G1700" s="58"/>
      <c r="H1700" s="58" t="s">
        <v>18</v>
      </c>
    </row>
    <row r="1701" spans="2:8" ht="15" customHeight="1" x14ac:dyDescent="0.3">
      <c r="B1701" s="86">
        <v>45785</v>
      </c>
      <c r="C1701" s="9" t="s">
        <v>75</v>
      </c>
      <c r="D1701" s="26" t="s">
        <v>8</v>
      </c>
      <c r="E1701" s="57" t="s">
        <v>76</v>
      </c>
      <c r="F1701" s="58">
        <v>1</v>
      </c>
      <c r="G1701" s="58"/>
      <c r="H1701" s="58" t="s">
        <v>18</v>
      </c>
    </row>
    <row r="1702" spans="2:8" ht="15" customHeight="1" x14ac:dyDescent="0.3">
      <c r="B1702" s="86">
        <v>45785</v>
      </c>
      <c r="C1702" s="9" t="s">
        <v>30</v>
      </c>
      <c r="D1702" s="26" t="s">
        <v>8</v>
      </c>
      <c r="E1702" s="57" t="s">
        <v>31</v>
      </c>
      <c r="F1702" s="58">
        <v>1</v>
      </c>
      <c r="G1702" s="58"/>
      <c r="H1702" s="58" t="s">
        <v>18</v>
      </c>
    </row>
    <row r="1703" spans="2:8" ht="15" customHeight="1" x14ac:dyDescent="0.3">
      <c r="B1703" s="86">
        <v>45785</v>
      </c>
      <c r="C1703" s="9" t="s">
        <v>70</v>
      </c>
      <c r="D1703" s="9" t="s">
        <v>71</v>
      </c>
      <c r="E1703" s="57" t="s">
        <v>72</v>
      </c>
      <c r="F1703" s="58">
        <v>2</v>
      </c>
      <c r="G1703" s="58"/>
      <c r="H1703" s="58" t="s">
        <v>18</v>
      </c>
    </row>
    <row r="1704" spans="2:8" ht="15" customHeight="1" x14ac:dyDescent="0.3">
      <c r="B1704" s="86">
        <v>45785</v>
      </c>
      <c r="C1704" s="9" t="s">
        <v>7</v>
      </c>
      <c r="D1704" s="26" t="s">
        <v>8</v>
      </c>
      <c r="E1704" s="57" t="s">
        <v>9</v>
      </c>
      <c r="F1704" s="58"/>
      <c r="G1704" s="58">
        <v>1</v>
      </c>
      <c r="H1704" s="58" t="s">
        <v>10</v>
      </c>
    </row>
    <row r="1705" spans="2:8" ht="15" customHeight="1" x14ac:dyDescent="0.3">
      <c r="B1705" s="86">
        <v>45785</v>
      </c>
      <c r="C1705" s="9" t="s">
        <v>75</v>
      </c>
      <c r="D1705" s="26" t="s">
        <v>8</v>
      </c>
      <c r="E1705" s="57" t="s">
        <v>76</v>
      </c>
      <c r="F1705" s="58"/>
      <c r="G1705" s="58">
        <v>1</v>
      </c>
      <c r="H1705" s="58" t="s">
        <v>10</v>
      </c>
    </row>
    <row r="1706" spans="2:8" ht="15" customHeight="1" x14ac:dyDescent="0.3">
      <c r="B1706" s="86">
        <v>45785</v>
      </c>
      <c r="C1706" s="9" t="s">
        <v>30</v>
      </c>
      <c r="D1706" s="26" t="s">
        <v>8</v>
      </c>
      <c r="E1706" s="57" t="s">
        <v>31</v>
      </c>
      <c r="F1706" s="58"/>
      <c r="G1706" s="58">
        <v>1</v>
      </c>
      <c r="H1706" s="58" t="s">
        <v>10</v>
      </c>
    </row>
    <row r="1707" spans="2:8" ht="15" customHeight="1" x14ac:dyDescent="0.3">
      <c r="B1707" s="86">
        <v>45785</v>
      </c>
      <c r="C1707" s="9" t="s">
        <v>28</v>
      </c>
      <c r="D1707" s="9" t="s">
        <v>8</v>
      </c>
      <c r="E1707" s="57" t="s">
        <v>29</v>
      </c>
      <c r="F1707" s="58"/>
      <c r="G1707" s="58">
        <v>1</v>
      </c>
      <c r="H1707" s="58" t="s">
        <v>10</v>
      </c>
    </row>
    <row r="1708" spans="2:8" ht="15" customHeight="1" x14ac:dyDescent="0.3">
      <c r="B1708" s="86">
        <v>45786</v>
      </c>
      <c r="C1708" s="9" t="s">
        <v>39</v>
      </c>
      <c r="D1708" s="9" t="s">
        <v>20</v>
      </c>
      <c r="E1708" s="57" t="s">
        <v>40</v>
      </c>
      <c r="F1708" s="58">
        <v>5</v>
      </c>
      <c r="G1708" s="58"/>
      <c r="H1708" s="58" t="s">
        <v>18</v>
      </c>
    </row>
    <row r="1709" spans="2:8" ht="15" customHeight="1" x14ac:dyDescent="0.3">
      <c r="B1709" s="86">
        <v>45786</v>
      </c>
      <c r="C1709" s="9" t="s">
        <v>41</v>
      </c>
      <c r="D1709" s="9" t="s">
        <v>20</v>
      </c>
      <c r="E1709" s="57" t="s">
        <v>42</v>
      </c>
      <c r="F1709" s="58">
        <v>5</v>
      </c>
      <c r="G1709" s="58"/>
      <c r="H1709" s="58" t="s">
        <v>18</v>
      </c>
    </row>
    <row r="1710" spans="2:8" ht="15" customHeight="1" x14ac:dyDescent="0.3">
      <c r="B1710" s="86">
        <v>45786</v>
      </c>
      <c r="C1710" s="9" t="s">
        <v>43</v>
      </c>
      <c r="D1710" s="9" t="s">
        <v>20</v>
      </c>
      <c r="E1710" s="57" t="s">
        <v>44</v>
      </c>
      <c r="F1710" s="58"/>
      <c r="G1710" s="58">
        <v>0.3</v>
      </c>
      <c r="H1710" s="58" t="s">
        <v>10</v>
      </c>
    </row>
    <row r="1711" spans="2:8" ht="15" customHeight="1" x14ac:dyDescent="0.3">
      <c r="B1711" s="86">
        <v>45786</v>
      </c>
      <c r="C1711" s="9" t="s">
        <v>39</v>
      </c>
      <c r="D1711" s="9" t="s">
        <v>20</v>
      </c>
      <c r="E1711" s="57" t="s">
        <v>40</v>
      </c>
      <c r="F1711" s="58"/>
      <c r="G1711" s="58">
        <v>5</v>
      </c>
      <c r="H1711" s="58" t="s">
        <v>10</v>
      </c>
    </row>
    <row r="1712" spans="2:8" ht="15" customHeight="1" x14ac:dyDescent="0.3">
      <c r="B1712" s="86">
        <v>45786</v>
      </c>
      <c r="C1712" s="9" t="s">
        <v>41</v>
      </c>
      <c r="D1712" s="9" t="s">
        <v>20</v>
      </c>
      <c r="E1712" s="57" t="s">
        <v>42</v>
      </c>
      <c r="F1712" s="58"/>
      <c r="G1712" s="58">
        <v>5</v>
      </c>
      <c r="H1712" s="58" t="s">
        <v>10</v>
      </c>
    </row>
    <row r="1713" spans="2:8" ht="15" customHeight="1" x14ac:dyDescent="0.3">
      <c r="B1713" s="86">
        <v>45786</v>
      </c>
      <c r="C1713" s="8" t="s">
        <v>93</v>
      </c>
      <c r="D1713" s="9" t="s">
        <v>12</v>
      </c>
      <c r="E1713" s="57" t="s">
        <v>94</v>
      </c>
      <c r="F1713" s="58"/>
      <c r="G1713" s="58">
        <v>43</v>
      </c>
      <c r="H1713" s="58" t="s">
        <v>179</v>
      </c>
    </row>
    <row r="1714" spans="2:8" ht="15" customHeight="1" x14ac:dyDescent="0.3">
      <c r="B1714" s="86">
        <v>45786</v>
      </c>
      <c r="C1714" s="9" t="s">
        <v>66</v>
      </c>
      <c r="D1714" s="9" t="s">
        <v>12</v>
      </c>
      <c r="E1714" s="57" t="s">
        <v>67</v>
      </c>
      <c r="F1714" s="58"/>
      <c r="G1714" s="58">
        <v>6</v>
      </c>
      <c r="H1714" s="58" t="s">
        <v>10</v>
      </c>
    </row>
    <row r="1715" spans="2:8" ht="15" customHeight="1" x14ac:dyDescent="0.3">
      <c r="B1715" s="86">
        <v>45786</v>
      </c>
      <c r="C1715" s="9" t="s">
        <v>55</v>
      </c>
      <c r="D1715" s="9" t="s">
        <v>12</v>
      </c>
      <c r="E1715" s="57" t="s">
        <v>56</v>
      </c>
      <c r="F1715" s="58"/>
      <c r="G1715" s="58">
        <v>120</v>
      </c>
      <c r="H1715" s="58" t="s">
        <v>179</v>
      </c>
    </row>
    <row r="1716" spans="2:8" ht="15" customHeight="1" x14ac:dyDescent="0.3">
      <c r="B1716" s="86">
        <v>45786</v>
      </c>
      <c r="C1716" s="9" t="s">
        <v>57</v>
      </c>
      <c r="D1716" s="9" t="s">
        <v>12</v>
      </c>
      <c r="E1716" s="57" t="s">
        <v>58</v>
      </c>
      <c r="F1716" s="58"/>
      <c r="G1716" s="58">
        <v>560</v>
      </c>
      <c r="H1716" s="58" t="s">
        <v>179</v>
      </c>
    </row>
    <row r="1717" spans="2:8" ht="15" customHeight="1" x14ac:dyDescent="0.3">
      <c r="B1717" s="86">
        <v>45786</v>
      </c>
      <c r="C1717" s="9" t="s">
        <v>45</v>
      </c>
      <c r="D1717" s="9" t="s">
        <v>12</v>
      </c>
      <c r="E1717" s="57" t="s">
        <v>59</v>
      </c>
      <c r="F1717" s="58"/>
      <c r="G1717" s="58">
        <v>672</v>
      </c>
      <c r="H1717" s="58" t="s">
        <v>179</v>
      </c>
    </row>
    <row r="1718" spans="2:8" ht="15" customHeight="1" x14ac:dyDescent="0.3">
      <c r="B1718" s="86">
        <v>45786</v>
      </c>
      <c r="C1718" s="9" t="s">
        <v>14</v>
      </c>
      <c r="D1718" s="9" t="s">
        <v>12</v>
      </c>
      <c r="E1718" s="57" t="s">
        <v>15</v>
      </c>
      <c r="F1718" s="58"/>
      <c r="G1718" s="58">
        <v>548</v>
      </c>
      <c r="H1718" s="58" t="s">
        <v>179</v>
      </c>
    </row>
    <row r="1719" spans="2:8" ht="15" customHeight="1" x14ac:dyDescent="0.3">
      <c r="B1719" s="86">
        <v>45786</v>
      </c>
      <c r="C1719" s="14" t="s">
        <v>126</v>
      </c>
      <c r="D1719" s="14" t="s">
        <v>12</v>
      </c>
      <c r="E1719" s="18" t="s">
        <v>97</v>
      </c>
      <c r="F1719" s="58"/>
      <c r="G1719" s="58">
        <f>39-17</f>
        <v>22</v>
      </c>
      <c r="H1719" s="58" t="s">
        <v>10</v>
      </c>
    </row>
    <row r="1720" spans="2:8" ht="15" customHeight="1" x14ac:dyDescent="0.3">
      <c r="B1720" s="86">
        <v>45786</v>
      </c>
      <c r="C1720" s="42" t="s">
        <v>106</v>
      </c>
      <c r="D1720" s="42" t="s">
        <v>12</v>
      </c>
      <c r="E1720" s="18" t="s">
        <v>107</v>
      </c>
      <c r="F1720" s="58"/>
      <c r="G1720" s="58">
        <v>2</v>
      </c>
      <c r="H1720" s="58" t="s">
        <v>10</v>
      </c>
    </row>
    <row r="1721" spans="2:8" ht="15" customHeight="1" x14ac:dyDescent="0.3">
      <c r="B1721" s="86">
        <v>45786</v>
      </c>
      <c r="C1721" s="37" t="s">
        <v>167</v>
      </c>
      <c r="D1721" s="37" t="s">
        <v>12</v>
      </c>
      <c r="E1721" s="93" t="s">
        <v>168</v>
      </c>
      <c r="F1721" s="58"/>
      <c r="G1721" s="58">
        <v>14</v>
      </c>
      <c r="H1721" s="58" t="s">
        <v>179</v>
      </c>
    </row>
    <row r="1722" spans="2:8" ht="15" customHeight="1" x14ac:dyDescent="0.3">
      <c r="B1722" s="86">
        <v>45786</v>
      </c>
      <c r="C1722" s="108" t="s">
        <v>175</v>
      </c>
      <c r="D1722" s="20" t="s">
        <v>20</v>
      </c>
      <c r="E1722" s="109" t="s">
        <v>176</v>
      </c>
      <c r="F1722" s="58"/>
      <c r="G1722" s="58">
        <v>1</v>
      </c>
      <c r="H1722" s="58" t="s">
        <v>10</v>
      </c>
    </row>
    <row r="1723" spans="2:8" ht="15" customHeight="1" x14ac:dyDescent="0.3">
      <c r="B1723" s="86">
        <v>45786</v>
      </c>
      <c r="C1723" s="18" t="s">
        <v>178</v>
      </c>
      <c r="D1723" s="18" t="s">
        <v>20</v>
      </c>
      <c r="E1723" s="18" t="s">
        <v>177</v>
      </c>
      <c r="F1723" s="58"/>
      <c r="G1723" s="58">
        <v>1</v>
      </c>
      <c r="H1723" s="58" t="s">
        <v>10</v>
      </c>
    </row>
    <row r="1724" spans="2:8" ht="15" customHeight="1" x14ac:dyDescent="0.3">
      <c r="B1724" s="86">
        <v>45787</v>
      </c>
      <c r="C1724" s="9" t="s">
        <v>30</v>
      </c>
      <c r="D1724" s="26" t="s">
        <v>8</v>
      </c>
      <c r="E1724" s="57" t="s">
        <v>31</v>
      </c>
      <c r="F1724" s="58">
        <v>1</v>
      </c>
      <c r="G1724" s="58"/>
      <c r="H1724" s="58" t="s">
        <v>18</v>
      </c>
    </row>
    <row r="1725" spans="2:8" ht="15" customHeight="1" x14ac:dyDescent="0.3">
      <c r="B1725" s="86">
        <v>45787</v>
      </c>
      <c r="C1725" s="9" t="s">
        <v>28</v>
      </c>
      <c r="D1725" s="9" t="s">
        <v>8</v>
      </c>
      <c r="E1725" s="57" t="s">
        <v>29</v>
      </c>
      <c r="F1725" s="58">
        <v>3</v>
      </c>
      <c r="G1725" s="58"/>
      <c r="H1725" s="58" t="s">
        <v>18</v>
      </c>
    </row>
    <row r="1726" spans="2:8" ht="15" customHeight="1" x14ac:dyDescent="0.3">
      <c r="B1726" s="86">
        <v>45787</v>
      </c>
      <c r="C1726" s="9" t="s">
        <v>7</v>
      </c>
      <c r="D1726" s="9" t="s">
        <v>8</v>
      </c>
      <c r="E1726" s="57" t="s">
        <v>9</v>
      </c>
      <c r="F1726" s="58">
        <v>2</v>
      </c>
      <c r="G1726" s="58"/>
      <c r="H1726" s="58" t="s">
        <v>18</v>
      </c>
    </row>
    <row r="1727" spans="2:8" ht="15" customHeight="1" x14ac:dyDescent="0.3">
      <c r="B1727" s="86">
        <v>45787</v>
      </c>
      <c r="C1727" s="9" t="s">
        <v>39</v>
      </c>
      <c r="D1727" s="9" t="s">
        <v>20</v>
      </c>
      <c r="E1727" s="57" t="s">
        <v>40</v>
      </c>
      <c r="F1727" s="58">
        <v>5</v>
      </c>
      <c r="G1727" s="58"/>
      <c r="H1727" s="58" t="s">
        <v>18</v>
      </c>
    </row>
    <row r="1728" spans="2:8" ht="15" customHeight="1" x14ac:dyDescent="0.3">
      <c r="B1728" s="86">
        <v>45787</v>
      </c>
      <c r="C1728" s="9" t="s">
        <v>41</v>
      </c>
      <c r="D1728" s="9" t="s">
        <v>20</v>
      </c>
      <c r="E1728" s="57" t="s">
        <v>42</v>
      </c>
      <c r="F1728" s="58">
        <v>5</v>
      </c>
      <c r="G1728" s="58"/>
      <c r="H1728" s="58" t="s">
        <v>18</v>
      </c>
    </row>
    <row r="1729" spans="2:8" ht="15" customHeight="1" x14ac:dyDescent="0.3">
      <c r="B1729" s="86">
        <v>45787</v>
      </c>
      <c r="C1729" s="9" t="s">
        <v>51</v>
      </c>
      <c r="D1729" s="9" t="s">
        <v>20</v>
      </c>
      <c r="E1729" s="57" t="s">
        <v>52</v>
      </c>
      <c r="F1729" s="58"/>
      <c r="G1729" s="58">
        <v>2</v>
      </c>
      <c r="H1729" s="58" t="s">
        <v>10</v>
      </c>
    </row>
    <row r="1730" spans="2:8" ht="15" customHeight="1" x14ac:dyDescent="0.3">
      <c r="B1730" s="86">
        <v>45787</v>
      </c>
      <c r="C1730" s="9" t="s">
        <v>28</v>
      </c>
      <c r="D1730" s="9" t="s">
        <v>8</v>
      </c>
      <c r="E1730" s="57" t="s">
        <v>29</v>
      </c>
      <c r="F1730" s="58"/>
      <c r="G1730" s="58">
        <v>1</v>
      </c>
      <c r="H1730" s="58" t="s">
        <v>10</v>
      </c>
    </row>
    <row r="1731" spans="2:8" ht="15" customHeight="1" x14ac:dyDescent="0.3">
      <c r="B1731" s="86">
        <v>45788</v>
      </c>
      <c r="C1731" s="9" t="s">
        <v>22</v>
      </c>
      <c r="D1731" s="9" t="s">
        <v>12</v>
      </c>
      <c r="E1731" s="57" t="s">
        <v>23</v>
      </c>
      <c r="F1731" s="58">
        <v>15</v>
      </c>
      <c r="G1731" s="58"/>
      <c r="H1731" s="58" t="s">
        <v>18</v>
      </c>
    </row>
    <row r="1732" spans="2:8" ht="15" customHeight="1" x14ac:dyDescent="0.3">
      <c r="B1732" s="86">
        <v>45788</v>
      </c>
      <c r="C1732" s="9" t="s">
        <v>134</v>
      </c>
      <c r="D1732" s="9" t="s">
        <v>20</v>
      </c>
      <c r="E1732" s="57" t="s">
        <v>135</v>
      </c>
      <c r="F1732" s="58">
        <v>2.25</v>
      </c>
      <c r="H1732" s="58" t="s">
        <v>18</v>
      </c>
    </row>
    <row r="1733" spans="2:8" ht="15" customHeight="1" x14ac:dyDescent="0.3">
      <c r="B1733" s="86">
        <v>45788</v>
      </c>
      <c r="C1733" s="9" t="s">
        <v>73</v>
      </c>
      <c r="D1733" s="9" t="s">
        <v>71</v>
      </c>
      <c r="E1733" s="57" t="s">
        <v>74</v>
      </c>
      <c r="F1733" s="58">
        <v>3</v>
      </c>
      <c r="G1733" s="58"/>
      <c r="H1733" s="58" t="s">
        <v>18</v>
      </c>
    </row>
    <row r="1734" spans="2:8" ht="15" customHeight="1" x14ac:dyDescent="0.3">
      <c r="B1734" s="86">
        <v>45788</v>
      </c>
      <c r="C1734" s="9" t="s">
        <v>30</v>
      </c>
      <c r="D1734" s="26" t="s">
        <v>8</v>
      </c>
      <c r="E1734" s="57" t="s">
        <v>31</v>
      </c>
      <c r="F1734" s="58"/>
      <c r="G1734" s="58">
        <v>1</v>
      </c>
      <c r="H1734" s="58" t="s">
        <v>10</v>
      </c>
    </row>
    <row r="1735" spans="2:8" ht="15" customHeight="1" x14ac:dyDescent="0.3">
      <c r="B1735" s="86">
        <v>45789</v>
      </c>
      <c r="C1735" s="9" t="s">
        <v>80</v>
      </c>
      <c r="D1735" s="9" t="s">
        <v>71</v>
      </c>
      <c r="E1735" s="57" t="s">
        <v>180</v>
      </c>
      <c r="F1735" s="58">
        <v>3</v>
      </c>
      <c r="G1735" s="58"/>
      <c r="H1735" s="58" t="s">
        <v>18</v>
      </c>
    </row>
    <row r="1736" spans="2:8" ht="15" customHeight="1" x14ac:dyDescent="0.3">
      <c r="B1736" s="86">
        <v>45789</v>
      </c>
      <c r="C1736" s="20" t="s">
        <v>189</v>
      </c>
      <c r="D1736" s="20" t="s">
        <v>12</v>
      </c>
      <c r="E1736" s="18" t="s">
        <v>92</v>
      </c>
      <c r="F1736" s="58">
        <v>36</v>
      </c>
      <c r="G1736" s="58"/>
      <c r="H1736" s="58" t="s">
        <v>18</v>
      </c>
    </row>
    <row r="1737" spans="2:8" ht="15" customHeight="1" x14ac:dyDescent="0.3">
      <c r="B1737" s="86">
        <v>45789</v>
      </c>
      <c r="C1737" s="20" t="s">
        <v>43</v>
      </c>
      <c r="D1737" s="20" t="s">
        <v>20</v>
      </c>
      <c r="E1737" s="18" t="s">
        <v>44</v>
      </c>
      <c r="F1737" s="58">
        <v>2.88</v>
      </c>
      <c r="G1737" s="58"/>
      <c r="H1737" s="58" t="s">
        <v>18</v>
      </c>
    </row>
    <row r="1738" spans="2:8" ht="15" customHeight="1" x14ac:dyDescent="0.3">
      <c r="B1738" s="86">
        <v>45789</v>
      </c>
      <c r="C1738" s="20" t="s">
        <v>77</v>
      </c>
      <c r="D1738" s="20" t="s">
        <v>20</v>
      </c>
      <c r="E1738" s="18" t="s">
        <v>78</v>
      </c>
      <c r="F1738" s="58">
        <v>2.085</v>
      </c>
      <c r="G1738" s="58"/>
      <c r="H1738" s="58" t="s">
        <v>18</v>
      </c>
    </row>
    <row r="1739" spans="2:8" ht="15" customHeight="1" x14ac:dyDescent="0.3">
      <c r="B1739" s="86">
        <v>45789</v>
      </c>
      <c r="C1739" s="9" t="s">
        <v>28</v>
      </c>
      <c r="D1739" s="9" t="s">
        <v>8</v>
      </c>
      <c r="E1739" s="57" t="s">
        <v>29</v>
      </c>
      <c r="F1739" s="58"/>
      <c r="G1739" s="58">
        <v>1</v>
      </c>
      <c r="H1739" s="58" t="s">
        <v>10</v>
      </c>
    </row>
    <row r="1740" spans="2:8" ht="15" customHeight="1" x14ac:dyDescent="0.3">
      <c r="B1740" s="86">
        <v>45789</v>
      </c>
      <c r="C1740" s="9" t="s">
        <v>7</v>
      </c>
      <c r="D1740" s="9" t="s">
        <v>8</v>
      </c>
      <c r="E1740" s="57" t="s">
        <v>9</v>
      </c>
      <c r="F1740" s="58"/>
      <c r="G1740" s="58">
        <v>1</v>
      </c>
      <c r="H1740" s="58" t="s">
        <v>10</v>
      </c>
    </row>
    <row r="1741" spans="2:8" ht="15" customHeight="1" x14ac:dyDescent="0.3">
      <c r="B1741" s="86">
        <v>45789</v>
      </c>
      <c r="C1741" s="9" t="s">
        <v>22</v>
      </c>
      <c r="D1741" s="9" t="s">
        <v>12</v>
      </c>
      <c r="E1741" s="57" t="s">
        <v>23</v>
      </c>
      <c r="F1741" s="58"/>
      <c r="G1741" s="58">
        <v>15</v>
      </c>
      <c r="H1741" s="58" t="s">
        <v>10</v>
      </c>
    </row>
    <row r="1742" spans="2:8" ht="15" customHeight="1" x14ac:dyDescent="0.3">
      <c r="B1742" s="86">
        <v>45789</v>
      </c>
      <c r="C1742" s="14" t="s">
        <v>126</v>
      </c>
      <c r="D1742" s="14" t="s">
        <v>12</v>
      </c>
      <c r="E1742" s="18" t="s">
        <v>97</v>
      </c>
      <c r="F1742" s="58"/>
      <c r="G1742" s="58">
        <f>17-8</f>
        <v>9</v>
      </c>
      <c r="H1742" s="58" t="s">
        <v>10</v>
      </c>
    </row>
    <row r="1743" spans="2:8" ht="15" customHeight="1" x14ac:dyDescent="0.3">
      <c r="B1743" s="86">
        <v>45789</v>
      </c>
      <c r="C1743" s="20" t="s">
        <v>43</v>
      </c>
      <c r="D1743" s="20" t="s">
        <v>20</v>
      </c>
      <c r="E1743" s="18" t="s">
        <v>44</v>
      </c>
      <c r="F1743" s="58"/>
      <c r="G1743" s="58">
        <f>7.986-6.788</f>
        <v>1.1979999999999995</v>
      </c>
      <c r="H1743" s="58" t="s">
        <v>10</v>
      </c>
    </row>
    <row r="1744" spans="2:8" ht="15" customHeight="1" x14ac:dyDescent="0.3">
      <c r="B1744" s="86">
        <v>45789</v>
      </c>
      <c r="C1744" s="9" t="s">
        <v>39</v>
      </c>
      <c r="D1744" s="9" t="s">
        <v>20</v>
      </c>
      <c r="E1744" s="57" t="s">
        <v>40</v>
      </c>
      <c r="F1744" s="58"/>
      <c r="G1744" s="58">
        <f>10-1.2</f>
        <v>8.8000000000000007</v>
      </c>
      <c r="H1744" s="58" t="s">
        <v>10</v>
      </c>
    </row>
    <row r="1745" spans="2:8" ht="15" customHeight="1" x14ac:dyDescent="0.3">
      <c r="B1745" s="86">
        <v>45789</v>
      </c>
      <c r="C1745" s="9" t="s">
        <v>41</v>
      </c>
      <c r="D1745" s="9" t="s">
        <v>20</v>
      </c>
      <c r="E1745" s="57" t="s">
        <v>42</v>
      </c>
      <c r="F1745" s="58"/>
      <c r="G1745" s="58">
        <f>20-11.6</f>
        <v>8.4</v>
      </c>
      <c r="H1745" s="58" t="s">
        <v>10</v>
      </c>
    </row>
    <row r="1746" spans="2:8" ht="15" customHeight="1" x14ac:dyDescent="0.3">
      <c r="B1746" s="86">
        <v>45789</v>
      </c>
      <c r="C1746" s="9" t="s">
        <v>51</v>
      </c>
      <c r="D1746" s="9" t="s">
        <v>20</v>
      </c>
      <c r="E1746" s="57" t="s">
        <v>52</v>
      </c>
      <c r="F1746" s="58"/>
      <c r="G1746" s="58">
        <v>0.73</v>
      </c>
      <c r="H1746" s="58" t="s">
        <v>10</v>
      </c>
    </row>
    <row r="1747" spans="2:8" ht="15" customHeight="1" x14ac:dyDescent="0.3">
      <c r="B1747" s="86">
        <v>45789</v>
      </c>
      <c r="C1747" s="9" t="s">
        <v>70</v>
      </c>
      <c r="D1747" s="9" t="s">
        <v>71</v>
      </c>
      <c r="E1747" s="57" t="s">
        <v>72</v>
      </c>
      <c r="F1747" s="58"/>
      <c r="G1747" s="58">
        <v>1</v>
      </c>
      <c r="H1747" s="58" t="s">
        <v>10</v>
      </c>
    </row>
    <row r="1748" spans="2:8" ht="15" customHeight="1" x14ac:dyDescent="0.3">
      <c r="B1748" s="86">
        <v>45789</v>
      </c>
      <c r="C1748" s="26" t="s">
        <v>68</v>
      </c>
      <c r="D1748" s="26" t="s">
        <v>12</v>
      </c>
      <c r="E1748" s="18" t="s">
        <v>69</v>
      </c>
      <c r="F1748" s="58"/>
      <c r="G1748" s="58">
        <v>8</v>
      </c>
      <c r="H1748" s="58" t="s">
        <v>10</v>
      </c>
    </row>
    <row r="1749" spans="2:8" ht="15" customHeight="1" x14ac:dyDescent="0.3">
      <c r="B1749" s="86">
        <v>45789</v>
      </c>
      <c r="C1749" s="18" t="s">
        <v>115</v>
      </c>
      <c r="D1749" s="18" t="s">
        <v>12</v>
      </c>
      <c r="E1749" s="18" t="s">
        <v>116</v>
      </c>
      <c r="F1749" s="58"/>
      <c r="G1749" s="58">
        <v>2</v>
      </c>
      <c r="H1749" s="58" t="s">
        <v>10</v>
      </c>
    </row>
    <row r="1750" spans="2:8" ht="15" customHeight="1" x14ac:dyDescent="0.3">
      <c r="B1750" s="86">
        <v>45789</v>
      </c>
      <c r="C1750" s="14" t="s">
        <v>61</v>
      </c>
      <c r="D1750" s="14" t="s">
        <v>20</v>
      </c>
      <c r="E1750" s="18" t="s">
        <v>62</v>
      </c>
      <c r="F1750" s="58"/>
      <c r="G1750" s="58">
        <f>10-7.6</f>
        <v>2.4000000000000004</v>
      </c>
      <c r="H1750" s="58" t="s">
        <v>10</v>
      </c>
    </row>
    <row r="1751" spans="2:8" ht="15" customHeight="1" x14ac:dyDescent="0.3">
      <c r="B1751" s="86">
        <v>45789</v>
      </c>
      <c r="C1751" s="26" t="s">
        <v>101</v>
      </c>
      <c r="D1751" s="26" t="s">
        <v>8</v>
      </c>
      <c r="E1751" s="18" t="s">
        <v>102</v>
      </c>
      <c r="F1751" s="58"/>
      <c r="G1751" s="58">
        <v>1</v>
      </c>
      <c r="H1751" s="58" t="s">
        <v>10</v>
      </c>
    </row>
    <row r="1752" spans="2:8" ht="15" customHeight="1" x14ac:dyDescent="0.3">
      <c r="B1752" s="86">
        <v>45789</v>
      </c>
      <c r="C1752" s="14" t="s">
        <v>110</v>
      </c>
      <c r="D1752" s="14" t="s">
        <v>12</v>
      </c>
      <c r="E1752" s="18" t="s">
        <v>111</v>
      </c>
      <c r="F1752" s="58"/>
      <c r="G1752" s="58">
        <v>3</v>
      </c>
      <c r="H1752" s="58" t="s">
        <v>10</v>
      </c>
    </row>
    <row r="1753" spans="2:8" ht="15" customHeight="1" x14ac:dyDescent="0.3">
      <c r="B1753" s="86">
        <v>45789</v>
      </c>
      <c r="C1753" s="110" t="s">
        <v>178</v>
      </c>
      <c r="D1753" s="110" t="s">
        <v>12</v>
      </c>
      <c r="E1753" s="110" t="s">
        <v>177</v>
      </c>
      <c r="F1753" s="58"/>
      <c r="G1753" s="58">
        <v>2</v>
      </c>
      <c r="H1753" s="58" t="s">
        <v>10</v>
      </c>
    </row>
    <row r="1754" spans="2:8" ht="15" customHeight="1" x14ac:dyDescent="0.3">
      <c r="B1754" s="86">
        <v>45791</v>
      </c>
      <c r="C1754" s="20" t="s">
        <v>189</v>
      </c>
      <c r="D1754" s="20" t="s">
        <v>12</v>
      </c>
      <c r="E1754" s="18" t="s">
        <v>92</v>
      </c>
      <c r="F1754" s="58">
        <v>60</v>
      </c>
      <c r="G1754" s="58"/>
      <c r="H1754" s="58" t="s">
        <v>18</v>
      </c>
    </row>
    <row r="1755" spans="2:8" ht="15" customHeight="1" x14ac:dyDescent="0.3">
      <c r="B1755" s="86">
        <v>45791</v>
      </c>
      <c r="C1755" s="9" t="s">
        <v>39</v>
      </c>
      <c r="D1755" s="9" t="s">
        <v>20</v>
      </c>
      <c r="E1755" s="57" t="s">
        <v>40</v>
      </c>
      <c r="F1755" s="58">
        <v>9</v>
      </c>
      <c r="G1755" s="58"/>
      <c r="H1755" s="58" t="s">
        <v>18</v>
      </c>
    </row>
    <row r="1756" spans="2:8" ht="15" customHeight="1" x14ac:dyDescent="0.3">
      <c r="B1756" s="86">
        <v>45791</v>
      </c>
      <c r="C1756" s="9" t="s">
        <v>41</v>
      </c>
      <c r="D1756" s="9" t="s">
        <v>20</v>
      </c>
      <c r="E1756" s="57" t="s">
        <v>42</v>
      </c>
      <c r="F1756" s="58">
        <v>1</v>
      </c>
      <c r="G1756" s="58"/>
      <c r="H1756" s="58" t="s">
        <v>18</v>
      </c>
    </row>
    <row r="1757" spans="2:8" ht="15" customHeight="1" x14ac:dyDescent="0.3">
      <c r="B1757" s="86">
        <v>45792</v>
      </c>
      <c r="C1757" s="9" t="s">
        <v>28</v>
      </c>
      <c r="D1757" s="9" t="s">
        <v>8</v>
      </c>
      <c r="E1757" s="57" t="s">
        <v>29</v>
      </c>
      <c r="F1757" s="58"/>
      <c r="G1757" s="58">
        <v>1</v>
      </c>
      <c r="H1757" s="58" t="s">
        <v>10</v>
      </c>
    </row>
    <row r="1758" spans="2:8" ht="15" customHeight="1" x14ac:dyDescent="0.3">
      <c r="B1758" s="86">
        <v>45792</v>
      </c>
      <c r="C1758" s="9" t="s">
        <v>7</v>
      </c>
      <c r="D1758" s="9" t="s">
        <v>8</v>
      </c>
      <c r="E1758" s="57" t="s">
        <v>9</v>
      </c>
      <c r="F1758" s="58"/>
      <c r="G1758" s="58">
        <v>1</v>
      </c>
      <c r="H1758" s="58" t="s">
        <v>10</v>
      </c>
    </row>
    <row r="1759" spans="2:8" ht="15" customHeight="1" x14ac:dyDescent="0.3">
      <c r="B1759" s="86">
        <v>45792</v>
      </c>
      <c r="C1759" s="9" t="s">
        <v>75</v>
      </c>
      <c r="D1759" s="9" t="s">
        <v>8</v>
      </c>
      <c r="E1759" s="57" t="s">
        <v>76</v>
      </c>
      <c r="F1759" s="58"/>
      <c r="G1759" s="58">
        <v>1</v>
      </c>
      <c r="H1759" s="58" t="s">
        <v>10</v>
      </c>
    </row>
    <row r="1760" spans="2:8" ht="15" customHeight="1" x14ac:dyDescent="0.3">
      <c r="B1760" s="86">
        <v>45792</v>
      </c>
      <c r="C1760" s="111" t="s">
        <v>189</v>
      </c>
      <c r="D1760" s="111" t="s">
        <v>12</v>
      </c>
      <c r="E1760" s="110" t="s">
        <v>92</v>
      </c>
      <c r="F1760" s="58"/>
      <c r="G1760" s="58">
        <f>96-62</f>
        <v>34</v>
      </c>
      <c r="H1760" s="58" t="s">
        <v>10</v>
      </c>
    </row>
    <row r="1761" spans="2:8" ht="15" customHeight="1" x14ac:dyDescent="0.3">
      <c r="B1761" s="86">
        <v>45792</v>
      </c>
      <c r="C1761" s="9" t="s">
        <v>134</v>
      </c>
      <c r="D1761" s="9" t="s">
        <v>20</v>
      </c>
      <c r="E1761" s="57" t="s">
        <v>135</v>
      </c>
      <c r="F1761" s="58"/>
      <c r="G1761" s="58">
        <v>2.25</v>
      </c>
      <c r="H1761" s="58" t="s">
        <v>10</v>
      </c>
    </row>
    <row r="1762" spans="2:8" ht="15" customHeight="1" x14ac:dyDescent="0.3">
      <c r="B1762" s="86">
        <v>45792</v>
      </c>
      <c r="C1762" s="14" t="s">
        <v>126</v>
      </c>
      <c r="D1762" s="14" t="s">
        <v>12</v>
      </c>
      <c r="E1762" s="18" t="s">
        <v>97</v>
      </c>
      <c r="F1762" s="58"/>
      <c r="G1762" s="58">
        <v>2</v>
      </c>
      <c r="H1762" s="58" t="s">
        <v>10</v>
      </c>
    </row>
    <row r="1763" spans="2:8" ht="15" customHeight="1" x14ac:dyDescent="0.3">
      <c r="B1763" s="86">
        <v>45792</v>
      </c>
      <c r="C1763" s="20" t="s">
        <v>77</v>
      </c>
      <c r="D1763" s="20" t="s">
        <v>20</v>
      </c>
      <c r="E1763" s="18" t="s">
        <v>78</v>
      </c>
      <c r="F1763" s="58"/>
      <c r="G1763" s="58">
        <f>3.185-2.8</f>
        <v>0.38500000000000023</v>
      </c>
      <c r="H1763" s="58" t="s">
        <v>10</v>
      </c>
    </row>
    <row r="1764" spans="2:8" ht="15" customHeight="1" x14ac:dyDescent="0.3">
      <c r="B1764" s="86">
        <v>45792</v>
      </c>
      <c r="C1764" s="9" t="s">
        <v>73</v>
      </c>
      <c r="D1764" s="9" t="s">
        <v>71</v>
      </c>
      <c r="E1764" s="57" t="s">
        <v>74</v>
      </c>
      <c r="F1764" s="58"/>
      <c r="G1764" s="58">
        <v>1</v>
      </c>
      <c r="H1764" s="58" t="s">
        <v>10</v>
      </c>
    </row>
    <row r="1765" spans="2:8" ht="15" customHeight="1" x14ac:dyDescent="0.3">
      <c r="B1765" s="86">
        <v>45792</v>
      </c>
      <c r="C1765" s="9" t="s">
        <v>80</v>
      </c>
      <c r="D1765" s="9" t="s">
        <v>71</v>
      </c>
      <c r="E1765" s="57" t="s">
        <v>81</v>
      </c>
      <c r="F1765" s="58"/>
      <c r="G1765" s="58">
        <v>1</v>
      </c>
      <c r="H1765" s="58" t="s">
        <v>10</v>
      </c>
    </row>
    <row r="1766" spans="2:8" ht="15" customHeight="1" x14ac:dyDescent="0.3">
      <c r="B1766" s="86">
        <v>45792</v>
      </c>
      <c r="C1766" s="39" t="s">
        <v>90</v>
      </c>
      <c r="D1766" s="39" t="s">
        <v>20</v>
      </c>
      <c r="E1766" s="18" t="s">
        <v>91</v>
      </c>
      <c r="F1766" s="58"/>
      <c r="G1766" s="58">
        <f>7.5-2.1</f>
        <v>5.4</v>
      </c>
      <c r="H1766" s="58" t="s">
        <v>10</v>
      </c>
    </row>
    <row r="1767" spans="2:8" ht="15" customHeight="1" x14ac:dyDescent="0.3">
      <c r="B1767" s="86">
        <v>45794</v>
      </c>
      <c r="C1767" s="9" t="s">
        <v>28</v>
      </c>
      <c r="D1767" s="9" t="s">
        <v>8</v>
      </c>
      <c r="E1767" s="57" t="s">
        <v>29</v>
      </c>
      <c r="F1767" s="58">
        <v>2</v>
      </c>
      <c r="G1767" s="58"/>
      <c r="H1767" s="58" t="s">
        <v>18</v>
      </c>
    </row>
    <row r="1768" spans="2:8" ht="15" customHeight="1" x14ac:dyDescent="0.3">
      <c r="B1768" s="86">
        <v>45794</v>
      </c>
      <c r="C1768" s="9" t="s">
        <v>7</v>
      </c>
      <c r="D1768" s="9" t="s">
        <v>8</v>
      </c>
      <c r="E1768" s="57" t="s">
        <v>9</v>
      </c>
      <c r="F1768" s="58">
        <v>1</v>
      </c>
      <c r="G1768" s="58"/>
      <c r="H1768" s="58" t="s">
        <v>18</v>
      </c>
    </row>
    <row r="1769" spans="2:8" ht="15" customHeight="1" x14ac:dyDescent="0.3">
      <c r="B1769" s="86">
        <v>45794</v>
      </c>
      <c r="C1769" s="26" t="s">
        <v>101</v>
      </c>
      <c r="D1769" s="26" t="s">
        <v>8</v>
      </c>
      <c r="E1769" s="18" t="s">
        <v>102</v>
      </c>
      <c r="F1769" s="58">
        <v>1</v>
      </c>
      <c r="G1769" s="58"/>
      <c r="H1769" s="58" t="s">
        <v>10</v>
      </c>
    </row>
    <row r="1770" spans="2:8" ht="15" customHeight="1" x14ac:dyDescent="0.3">
      <c r="B1770" s="86">
        <v>45794</v>
      </c>
      <c r="C1770" s="9" t="s">
        <v>28</v>
      </c>
      <c r="D1770" s="9" t="s">
        <v>8</v>
      </c>
      <c r="E1770" s="57" t="s">
        <v>29</v>
      </c>
      <c r="F1770" s="58"/>
      <c r="G1770" s="58">
        <v>1</v>
      </c>
      <c r="H1770" s="58" t="s">
        <v>10</v>
      </c>
    </row>
    <row r="1771" spans="2:8" ht="15" customHeight="1" x14ac:dyDescent="0.3">
      <c r="B1771" s="86">
        <v>45794</v>
      </c>
      <c r="C1771" s="9" t="s">
        <v>30</v>
      </c>
      <c r="D1771" s="9" t="s">
        <v>8</v>
      </c>
      <c r="E1771" s="57" t="s">
        <v>31</v>
      </c>
      <c r="F1771" s="58"/>
      <c r="G1771" s="58">
        <v>1</v>
      </c>
      <c r="H1771" s="58" t="s">
        <v>10</v>
      </c>
    </row>
    <row r="1772" spans="2:8" ht="15" customHeight="1" x14ac:dyDescent="0.3">
      <c r="B1772" s="86">
        <v>45795</v>
      </c>
      <c r="C1772" s="9" t="s">
        <v>30</v>
      </c>
      <c r="D1772" s="9" t="s">
        <v>8</v>
      </c>
      <c r="E1772" s="57" t="s">
        <v>31</v>
      </c>
      <c r="F1772" s="58">
        <v>1</v>
      </c>
      <c r="G1772" s="58"/>
      <c r="H1772" s="58" t="s">
        <v>18</v>
      </c>
    </row>
    <row r="1773" spans="2:8" ht="15" customHeight="1" x14ac:dyDescent="0.3">
      <c r="B1773" s="86">
        <v>45795</v>
      </c>
      <c r="C1773" s="9" t="s">
        <v>39</v>
      </c>
      <c r="D1773" s="9" t="s">
        <v>20</v>
      </c>
      <c r="E1773" s="57" t="s">
        <v>40</v>
      </c>
      <c r="F1773" s="58">
        <v>10</v>
      </c>
      <c r="G1773" s="58"/>
      <c r="H1773" s="58" t="s">
        <v>18</v>
      </c>
    </row>
    <row r="1774" spans="2:8" ht="15" customHeight="1" x14ac:dyDescent="0.3">
      <c r="B1774" s="86">
        <v>45795</v>
      </c>
      <c r="C1774" s="9" t="s">
        <v>75</v>
      </c>
      <c r="D1774" s="9" t="s">
        <v>8</v>
      </c>
      <c r="E1774" s="57" t="s">
        <v>76</v>
      </c>
      <c r="F1774" s="58">
        <v>1</v>
      </c>
      <c r="G1774" s="58"/>
      <c r="H1774" s="58" t="s">
        <v>18</v>
      </c>
    </row>
    <row r="1775" spans="2:8" ht="15" customHeight="1" x14ac:dyDescent="0.3">
      <c r="B1775" s="86">
        <v>45795</v>
      </c>
      <c r="C1775" s="9" t="s">
        <v>75</v>
      </c>
      <c r="D1775" s="9" t="s">
        <v>8</v>
      </c>
      <c r="E1775" s="57" t="s">
        <v>76</v>
      </c>
      <c r="F1775" s="58"/>
      <c r="G1775" s="58">
        <v>1</v>
      </c>
      <c r="H1775" s="58" t="s">
        <v>10</v>
      </c>
    </row>
    <row r="1776" spans="2:8" ht="15" customHeight="1" x14ac:dyDescent="0.3">
      <c r="B1776" s="86">
        <v>45796</v>
      </c>
      <c r="C1776" s="9" t="s">
        <v>30</v>
      </c>
      <c r="D1776" s="9" t="s">
        <v>8</v>
      </c>
      <c r="E1776" s="57" t="s">
        <v>31</v>
      </c>
      <c r="F1776" s="58"/>
      <c r="G1776" s="58">
        <v>1</v>
      </c>
      <c r="H1776" s="58" t="s">
        <v>10</v>
      </c>
    </row>
    <row r="1777" spans="2:8" ht="15" customHeight="1" x14ac:dyDescent="0.3">
      <c r="B1777" s="86">
        <v>45796</v>
      </c>
      <c r="C1777" s="9" t="s">
        <v>28</v>
      </c>
      <c r="D1777" s="9" t="s">
        <v>8</v>
      </c>
      <c r="E1777" s="57" t="s">
        <v>29</v>
      </c>
      <c r="F1777" s="58"/>
      <c r="G1777" s="58">
        <v>1</v>
      </c>
      <c r="H1777" s="58" t="s">
        <v>10</v>
      </c>
    </row>
    <row r="1778" spans="2:8" ht="15" customHeight="1" x14ac:dyDescent="0.3">
      <c r="B1778" s="86">
        <v>45796</v>
      </c>
      <c r="C1778" s="9" t="s">
        <v>7</v>
      </c>
      <c r="D1778" s="9" t="s">
        <v>8</v>
      </c>
      <c r="E1778" s="57" t="s">
        <v>9</v>
      </c>
      <c r="F1778" s="58"/>
      <c r="G1778" s="58">
        <v>1</v>
      </c>
      <c r="H1778" s="58" t="s">
        <v>10</v>
      </c>
    </row>
    <row r="1779" spans="2:8" ht="15" customHeight="1" x14ac:dyDescent="0.3">
      <c r="B1779" s="86">
        <v>45796</v>
      </c>
      <c r="C1779" s="20" t="s">
        <v>189</v>
      </c>
      <c r="D1779" s="20" t="s">
        <v>12</v>
      </c>
      <c r="E1779" s="18" t="s">
        <v>92</v>
      </c>
      <c r="F1779" s="58"/>
      <c r="G1779" s="58">
        <f>62-48</f>
        <v>14</v>
      </c>
      <c r="H1779" s="58" t="s">
        <v>10</v>
      </c>
    </row>
    <row r="1780" spans="2:8" ht="15" customHeight="1" x14ac:dyDescent="0.3">
      <c r="B1780" s="86">
        <v>45796</v>
      </c>
      <c r="C1780" s="9" t="s">
        <v>43</v>
      </c>
      <c r="D1780" s="9" t="s">
        <v>20</v>
      </c>
      <c r="E1780" s="57" t="s">
        <v>44</v>
      </c>
      <c r="F1780" s="58"/>
      <c r="G1780" s="58">
        <f>6.5-5.6</f>
        <v>0.90000000000000036</v>
      </c>
      <c r="H1780" s="58" t="s">
        <v>10</v>
      </c>
    </row>
    <row r="1781" spans="2:8" ht="15" customHeight="1" x14ac:dyDescent="0.3">
      <c r="B1781" s="86">
        <v>45796</v>
      </c>
      <c r="C1781" s="9" t="s">
        <v>51</v>
      </c>
      <c r="D1781" s="9" t="s">
        <v>20</v>
      </c>
      <c r="E1781" s="57" t="s">
        <v>52</v>
      </c>
      <c r="F1781" s="58">
        <v>4</v>
      </c>
      <c r="G1781" s="58"/>
      <c r="H1781" s="58" t="s">
        <v>18</v>
      </c>
    </row>
    <row r="1782" spans="2:8" ht="15" customHeight="1" x14ac:dyDescent="0.3">
      <c r="B1782" s="86">
        <v>45796</v>
      </c>
      <c r="C1782" s="9" t="s">
        <v>73</v>
      </c>
      <c r="D1782" s="9" t="s">
        <v>71</v>
      </c>
      <c r="E1782" s="57" t="s">
        <v>74</v>
      </c>
      <c r="F1782" s="58"/>
      <c r="G1782" s="58">
        <v>1</v>
      </c>
      <c r="H1782" s="58" t="s">
        <v>10</v>
      </c>
    </row>
    <row r="1783" spans="2:8" ht="15" customHeight="1" x14ac:dyDescent="0.3">
      <c r="B1783" s="86">
        <v>45796</v>
      </c>
      <c r="C1783" s="9" t="s">
        <v>39</v>
      </c>
      <c r="D1783" s="9" t="s">
        <v>20</v>
      </c>
      <c r="E1783" s="57" t="s">
        <v>40</v>
      </c>
      <c r="F1783" s="58"/>
      <c r="G1783" s="58">
        <v>6.8</v>
      </c>
      <c r="H1783" s="58" t="s">
        <v>10</v>
      </c>
    </row>
    <row r="1784" spans="2:8" ht="15" customHeight="1" x14ac:dyDescent="0.3">
      <c r="B1784" s="86">
        <v>45796</v>
      </c>
      <c r="C1784" s="9" t="s">
        <v>41</v>
      </c>
      <c r="D1784" s="9" t="s">
        <v>20</v>
      </c>
      <c r="E1784" s="57" t="s">
        <v>42</v>
      </c>
      <c r="F1784" s="58"/>
      <c r="G1784" s="58">
        <v>8.3000000000000007</v>
      </c>
      <c r="H1784" s="58" t="s">
        <v>10</v>
      </c>
    </row>
    <row r="1785" spans="2:8" ht="15" customHeight="1" x14ac:dyDescent="0.3">
      <c r="B1785" s="86">
        <v>45796</v>
      </c>
      <c r="C1785" s="9" t="s">
        <v>61</v>
      </c>
      <c r="D1785" s="9" t="s">
        <v>20</v>
      </c>
      <c r="E1785" s="57" t="s">
        <v>62</v>
      </c>
      <c r="F1785" s="58"/>
      <c r="G1785" s="58">
        <f>7.6-5.9</f>
        <v>1.6999999999999993</v>
      </c>
      <c r="H1785" s="58" t="s">
        <v>10</v>
      </c>
    </row>
    <row r="1786" spans="2:8" ht="15" customHeight="1" x14ac:dyDescent="0.3">
      <c r="B1786" s="86">
        <v>45796</v>
      </c>
      <c r="C1786" s="14" t="s">
        <v>126</v>
      </c>
      <c r="D1786" s="14" t="s">
        <v>12</v>
      </c>
      <c r="E1786" s="18" t="s">
        <v>97</v>
      </c>
      <c r="F1786" s="58"/>
      <c r="G1786" s="58">
        <v>6</v>
      </c>
      <c r="H1786" s="58" t="s">
        <v>10</v>
      </c>
    </row>
    <row r="1787" spans="2:8" ht="15" customHeight="1" x14ac:dyDescent="0.3">
      <c r="B1787" s="86">
        <v>45796</v>
      </c>
      <c r="C1787" s="20" t="s">
        <v>128</v>
      </c>
      <c r="D1787" s="20" t="s">
        <v>12</v>
      </c>
      <c r="E1787" s="18" t="s">
        <v>129</v>
      </c>
      <c r="F1787" s="58">
        <v>38</v>
      </c>
      <c r="G1787" s="58"/>
      <c r="H1787" s="58" t="s">
        <v>18</v>
      </c>
    </row>
    <row r="1788" spans="2:8" ht="15" customHeight="1" x14ac:dyDescent="0.3">
      <c r="B1788" s="86">
        <v>45796</v>
      </c>
      <c r="C1788" s="108" t="s">
        <v>175</v>
      </c>
      <c r="D1788" s="20" t="s">
        <v>20</v>
      </c>
      <c r="E1788" s="109" t="s">
        <v>176</v>
      </c>
      <c r="F1788" s="58"/>
      <c r="G1788" s="58">
        <v>0.2</v>
      </c>
      <c r="H1788" s="58" t="s">
        <v>10</v>
      </c>
    </row>
    <row r="1789" spans="2:8" ht="15" customHeight="1" x14ac:dyDescent="0.3">
      <c r="B1789" s="86">
        <v>45796</v>
      </c>
      <c r="C1789" s="9" t="s">
        <v>68</v>
      </c>
      <c r="D1789" s="9" t="s">
        <v>12</v>
      </c>
      <c r="E1789" s="57" t="s">
        <v>69</v>
      </c>
      <c r="F1789" s="58">
        <v>8</v>
      </c>
      <c r="G1789" s="58"/>
      <c r="H1789" s="58" t="s">
        <v>18</v>
      </c>
    </row>
    <row r="1790" spans="2:8" ht="15" customHeight="1" x14ac:dyDescent="0.3">
      <c r="B1790" s="86">
        <v>45796</v>
      </c>
      <c r="C1790" s="20" t="s">
        <v>189</v>
      </c>
      <c r="D1790" s="20" t="s">
        <v>12</v>
      </c>
      <c r="E1790" s="18" t="s">
        <v>92</v>
      </c>
      <c r="F1790" s="58">
        <v>24</v>
      </c>
      <c r="G1790" s="58"/>
      <c r="H1790" s="58" t="s">
        <v>18</v>
      </c>
    </row>
    <row r="1791" spans="2:8" ht="15" customHeight="1" x14ac:dyDescent="0.3">
      <c r="B1791" s="86">
        <v>45796</v>
      </c>
      <c r="C1791" s="9" t="s">
        <v>61</v>
      </c>
      <c r="D1791" s="9" t="s">
        <v>20</v>
      </c>
      <c r="E1791" s="57" t="s">
        <v>62</v>
      </c>
      <c r="F1791" s="58">
        <v>5.7</v>
      </c>
      <c r="G1791" s="58"/>
      <c r="H1791" s="58" t="s">
        <v>18</v>
      </c>
    </row>
    <row r="1792" spans="2:8" ht="15" customHeight="1" x14ac:dyDescent="0.3">
      <c r="B1792" s="86">
        <v>45797</v>
      </c>
      <c r="C1792" s="9" t="s">
        <v>30</v>
      </c>
      <c r="D1792" s="9" t="s">
        <v>8</v>
      </c>
      <c r="E1792" s="57" t="s">
        <v>31</v>
      </c>
      <c r="F1792" s="58">
        <v>1</v>
      </c>
      <c r="G1792" s="58"/>
      <c r="H1792" s="58" t="s">
        <v>18</v>
      </c>
    </row>
    <row r="1793" spans="2:8" ht="15" customHeight="1" x14ac:dyDescent="0.3">
      <c r="B1793" s="86">
        <v>45797</v>
      </c>
      <c r="C1793" s="9" t="s">
        <v>28</v>
      </c>
      <c r="D1793" s="9" t="s">
        <v>8</v>
      </c>
      <c r="E1793" s="57" t="s">
        <v>29</v>
      </c>
      <c r="F1793" s="58">
        <v>2</v>
      </c>
      <c r="G1793" s="58"/>
      <c r="H1793" s="58" t="s">
        <v>18</v>
      </c>
    </row>
    <row r="1794" spans="2:8" ht="15" customHeight="1" x14ac:dyDescent="0.3">
      <c r="B1794" s="86">
        <v>45797</v>
      </c>
      <c r="C1794" s="9" t="s">
        <v>7</v>
      </c>
      <c r="D1794" s="9" t="s">
        <v>8</v>
      </c>
      <c r="E1794" s="57" t="s">
        <v>9</v>
      </c>
      <c r="F1794" s="58">
        <v>2</v>
      </c>
      <c r="G1794" s="58"/>
      <c r="H1794" s="58" t="s">
        <v>18</v>
      </c>
    </row>
    <row r="1795" spans="2:8" ht="15" customHeight="1" x14ac:dyDescent="0.3">
      <c r="B1795" s="86">
        <v>45799</v>
      </c>
      <c r="C1795" s="9" t="s">
        <v>128</v>
      </c>
      <c r="D1795" s="9" t="s">
        <v>12</v>
      </c>
      <c r="E1795" s="57" t="s">
        <v>129</v>
      </c>
      <c r="F1795" s="58">
        <v>71</v>
      </c>
      <c r="G1795" s="58"/>
      <c r="H1795" s="58" t="s">
        <v>18</v>
      </c>
    </row>
    <row r="1796" spans="2:8" ht="15" customHeight="1" x14ac:dyDescent="0.3">
      <c r="B1796" s="86">
        <v>45799</v>
      </c>
      <c r="C1796" s="9" t="s">
        <v>28</v>
      </c>
      <c r="D1796" s="9" t="s">
        <v>8</v>
      </c>
      <c r="E1796" s="57" t="s">
        <v>29</v>
      </c>
      <c r="F1796" s="58"/>
      <c r="G1796" s="58">
        <v>1</v>
      </c>
      <c r="H1796" s="58" t="s">
        <v>10</v>
      </c>
    </row>
    <row r="1797" spans="2:8" ht="15" customHeight="1" x14ac:dyDescent="0.3">
      <c r="B1797" s="86">
        <v>45799</v>
      </c>
      <c r="C1797" s="9" t="s">
        <v>134</v>
      </c>
      <c r="D1797" s="9" t="s">
        <v>20</v>
      </c>
      <c r="E1797" s="57" t="s">
        <v>135</v>
      </c>
      <c r="F1797" s="58">
        <v>2.2000000000000002</v>
      </c>
      <c r="G1797" s="58"/>
      <c r="H1797" s="58" t="s">
        <v>18</v>
      </c>
    </row>
    <row r="1798" spans="2:8" ht="15" customHeight="1" x14ac:dyDescent="0.3">
      <c r="B1798" s="86">
        <v>45799</v>
      </c>
      <c r="C1798" s="20" t="s">
        <v>189</v>
      </c>
      <c r="D1798" s="112" t="s">
        <v>12</v>
      </c>
      <c r="E1798" s="18" t="s">
        <v>92</v>
      </c>
      <c r="F1798" s="58">
        <v>6</v>
      </c>
      <c r="G1798" s="58"/>
      <c r="H1798" s="58" t="s">
        <v>18</v>
      </c>
    </row>
    <row r="1799" spans="2:8" ht="15" customHeight="1" x14ac:dyDescent="0.3">
      <c r="B1799" s="86">
        <v>45799</v>
      </c>
      <c r="C1799" s="9" t="s">
        <v>43</v>
      </c>
      <c r="D1799" s="9" t="s">
        <v>20</v>
      </c>
      <c r="E1799" s="57" t="s">
        <v>44</v>
      </c>
      <c r="F1799" s="58"/>
      <c r="G1799" s="58">
        <v>0.3</v>
      </c>
      <c r="H1799" s="58" t="s">
        <v>10</v>
      </c>
    </row>
    <row r="1800" spans="2:8" ht="15" customHeight="1" x14ac:dyDescent="0.3">
      <c r="B1800" s="86">
        <v>45799</v>
      </c>
      <c r="C1800" s="9" t="s">
        <v>77</v>
      </c>
      <c r="D1800" s="9" t="s">
        <v>20</v>
      </c>
      <c r="E1800" s="57" t="s">
        <v>78</v>
      </c>
      <c r="F1800" s="58"/>
      <c r="G1800" s="58">
        <v>0.5</v>
      </c>
      <c r="H1800" s="58" t="s">
        <v>10</v>
      </c>
    </row>
    <row r="1801" spans="2:8" ht="15" customHeight="1" x14ac:dyDescent="0.3">
      <c r="B1801" s="86">
        <v>45799</v>
      </c>
      <c r="C1801" s="9" t="s">
        <v>39</v>
      </c>
      <c r="D1801" s="9" t="s">
        <v>20</v>
      </c>
      <c r="E1801" s="57" t="s">
        <v>40</v>
      </c>
      <c r="F1801" s="58"/>
      <c r="G1801" s="58">
        <v>8.4</v>
      </c>
      <c r="H1801" s="58" t="s">
        <v>10</v>
      </c>
    </row>
    <row r="1802" spans="2:8" ht="15" customHeight="1" x14ac:dyDescent="0.3">
      <c r="B1802" s="86">
        <v>45799</v>
      </c>
      <c r="C1802" s="9" t="s">
        <v>41</v>
      </c>
      <c r="D1802" s="9" t="s">
        <v>20</v>
      </c>
      <c r="E1802" s="57" t="s">
        <v>42</v>
      </c>
      <c r="F1802" s="58"/>
      <c r="G1802" s="58">
        <v>4.3</v>
      </c>
      <c r="H1802" s="58" t="s">
        <v>10</v>
      </c>
    </row>
    <row r="1803" spans="2:8" ht="15" customHeight="1" x14ac:dyDescent="0.3">
      <c r="B1803" s="86">
        <v>45799</v>
      </c>
      <c r="C1803" s="9" t="s">
        <v>41</v>
      </c>
      <c r="D1803" s="9" t="s">
        <v>20</v>
      </c>
      <c r="E1803" s="57" t="s">
        <v>42</v>
      </c>
      <c r="F1803" s="58">
        <v>5</v>
      </c>
      <c r="G1803" s="58"/>
      <c r="H1803" s="58" t="s">
        <v>18</v>
      </c>
    </row>
    <row r="1804" spans="2:8" ht="15" customHeight="1" x14ac:dyDescent="0.3">
      <c r="B1804" s="86">
        <v>45799</v>
      </c>
      <c r="C1804" s="9" t="s">
        <v>70</v>
      </c>
      <c r="D1804" s="9" t="s">
        <v>71</v>
      </c>
      <c r="E1804" s="57" t="s">
        <v>72</v>
      </c>
      <c r="F1804" s="58"/>
      <c r="G1804" s="58">
        <v>1</v>
      </c>
      <c r="H1804" s="58" t="s">
        <v>10</v>
      </c>
    </row>
    <row r="1805" spans="2:8" ht="15" customHeight="1" x14ac:dyDescent="0.3">
      <c r="B1805" s="86">
        <v>45799</v>
      </c>
      <c r="C1805" s="18" t="s">
        <v>178</v>
      </c>
      <c r="D1805" s="18" t="s">
        <v>20</v>
      </c>
      <c r="E1805" s="18" t="s">
        <v>177</v>
      </c>
      <c r="F1805" s="58">
        <v>1.3</v>
      </c>
      <c r="G1805" s="58"/>
      <c r="H1805" s="58" t="s">
        <v>18</v>
      </c>
    </row>
    <row r="1806" spans="2:8" ht="15" customHeight="1" x14ac:dyDescent="0.3">
      <c r="B1806" s="86">
        <v>45801</v>
      </c>
      <c r="C1806" s="9" t="s">
        <v>39</v>
      </c>
      <c r="D1806" s="9" t="s">
        <v>20</v>
      </c>
      <c r="E1806" s="57" t="s">
        <v>40</v>
      </c>
      <c r="F1806" s="58">
        <v>10</v>
      </c>
      <c r="G1806" s="58"/>
      <c r="H1806" s="58" t="s">
        <v>18</v>
      </c>
    </row>
    <row r="1807" spans="2:8" ht="15" customHeight="1" x14ac:dyDescent="0.3">
      <c r="B1807" s="86">
        <v>45801</v>
      </c>
      <c r="C1807" s="9" t="s">
        <v>41</v>
      </c>
      <c r="D1807" s="9" t="s">
        <v>20</v>
      </c>
      <c r="E1807" s="57" t="s">
        <v>42</v>
      </c>
      <c r="F1807" s="58">
        <v>10</v>
      </c>
      <c r="G1807" s="58"/>
      <c r="H1807" s="58" t="s">
        <v>18</v>
      </c>
    </row>
    <row r="1808" spans="2:8" ht="15" customHeight="1" x14ac:dyDescent="0.3">
      <c r="B1808" s="86">
        <v>45801</v>
      </c>
      <c r="C1808" s="9" t="s">
        <v>28</v>
      </c>
      <c r="D1808" s="9" t="s">
        <v>8</v>
      </c>
      <c r="E1808" s="57" t="s">
        <v>29</v>
      </c>
      <c r="F1808" s="58">
        <v>2</v>
      </c>
      <c r="G1808" s="58"/>
      <c r="H1808" s="58" t="s">
        <v>18</v>
      </c>
    </row>
    <row r="1809" spans="2:8" ht="15" customHeight="1" x14ac:dyDescent="0.3">
      <c r="B1809" s="86">
        <v>45801</v>
      </c>
      <c r="C1809" s="9" t="s">
        <v>75</v>
      </c>
      <c r="D1809" s="9" t="s">
        <v>8</v>
      </c>
      <c r="E1809" s="57" t="s">
        <v>76</v>
      </c>
      <c r="F1809" s="58">
        <v>1</v>
      </c>
      <c r="G1809" s="58"/>
      <c r="H1809" s="58" t="s">
        <v>18</v>
      </c>
    </row>
    <row r="1810" spans="2:8" ht="15" customHeight="1" x14ac:dyDescent="0.3">
      <c r="B1810" s="86">
        <v>45801</v>
      </c>
      <c r="C1810" s="9" t="s">
        <v>30</v>
      </c>
      <c r="D1810" s="9" t="s">
        <v>8</v>
      </c>
      <c r="E1810" s="57" t="s">
        <v>31</v>
      </c>
      <c r="F1810" s="58">
        <v>1</v>
      </c>
      <c r="G1810" s="58"/>
      <c r="H1810" s="58" t="s">
        <v>18</v>
      </c>
    </row>
    <row r="1811" spans="2:8" ht="15" customHeight="1" x14ac:dyDescent="0.3">
      <c r="B1811" s="86">
        <v>45801</v>
      </c>
      <c r="C1811" s="18" t="s">
        <v>63</v>
      </c>
      <c r="D1811" s="18" t="s">
        <v>20</v>
      </c>
      <c r="E1811" s="18" t="s">
        <v>64</v>
      </c>
      <c r="F1811" s="58">
        <v>5</v>
      </c>
      <c r="G1811" s="58"/>
      <c r="H1811" s="58" t="s">
        <v>18</v>
      </c>
    </row>
    <row r="1812" spans="2:8" ht="15" customHeight="1" x14ac:dyDescent="0.3">
      <c r="B1812" s="86">
        <v>45801</v>
      </c>
      <c r="C1812" s="20" t="s">
        <v>189</v>
      </c>
      <c r="D1812" s="112" t="s">
        <v>12</v>
      </c>
      <c r="E1812" s="18" t="s">
        <v>92</v>
      </c>
      <c r="F1812" s="58">
        <v>120</v>
      </c>
      <c r="G1812" s="58"/>
      <c r="H1812" s="58" t="s">
        <v>18</v>
      </c>
    </row>
    <row r="1813" spans="2:8" ht="15" customHeight="1" x14ac:dyDescent="0.3">
      <c r="B1813" s="86">
        <v>45801</v>
      </c>
      <c r="C1813" s="111" t="s">
        <v>181</v>
      </c>
      <c r="D1813" s="111" t="s">
        <v>20</v>
      </c>
      <c r="E1813" s="110" t="s">
        <v>182</v>
      </c>
      <c r="F1813" s="58">
        <v>10</v>
      </c>
      <c r="G1813" s="58"/>
      <c r="H1813" s="58" t="s">
        <v>18</v>
      </c>
    </row>
    <row r="1814" spans="2:8" ht="15" customHeight="1" x14ac:dyDescent="0.3">
      <c r="B1814" s="86">
        <v>45801</v>
      </c>
      <c r="C1814" s="9" t="s">
        <v>70</v>
      </c>
      <c r="D1814" s="9" t="s">
        <v>71</v>
      </c>
      <c r="E1814" s="57" t="s">
        <v>72</v>
      </c>
      <c r="F1814" s="58">
        <v>1</v>
      </c>
      <c r="G1814" s="58"/>
      <c r="H1814" s="58" t="s">
        <v>18</v>
      </c>
    </row>
    <row r="1815" spans="2:8" ht="15" customHeight="1" x14ac:dyDescent="0.3">
      <c r="B1815" s="86">
        <v>45801</v>
      </c>
      <c r="C1815" s="9" t="s">
        <v>7</v>
      </c>
      <c r="D1815" s="9" t="s">
        <v>8</v>
      </c>
      <c r="E1815" s="57" t="s">
        <v>9</v>
      </c>
      <c r="F1815" s="58"/>
      <c r="G1815" s="58">
        <v>2</v>
      </c>
      <c r="H1815" s="58" t="s">
        <v>10</v>
      </c>
    </row>
    <row r="1816" spans="2:8" ht="15" customHeight="1" x14ac:dyDescent="0.3">
      <c r="B1816" s="86">
        <v>45801</v>
      </c>
      <c r="C1816" s="9" t="s">
        <v>28</v>
      </c>
      <c r="D1816" s="9" t="s">
        <v>8</v>
      </c>
      <c r="E1816" s="57" t="s">
        <v>29</v>
      </c>
      <c r="F1816" s="58"/>
      <c r="G1816" s="58">
        <v>2</v>
      </c>
      <c r="H1816" s="58" t="s">
        <v>10</v>
      </c>
    </row>
    <row r="1817" spans="2:8" ht="15" customHeight="1" x14ac:dyDescent="0.3">
      <c r="B1817" s="86">
        <v>45801</v>
      </c>
      <c r="C1817" s="9" t="s">
        <v>30</v>
      </c>
      <c r="D1817" s="9" t="s">
        <v>8</v>
      </c>
      <c r="E1817" s="57" t="s">
        <v>31</v>
      </c>
      <c r="F1817" s="58"/>
      <c r="G1817" s="58">
        <v>1</v>
      </c>
      <c r="H1817" s="58" t="s">
        <v>10</v>
      </c>
    </row>
    <row r="1818" spans="2:8" ht="15" customHeight="1" x14ac:dyDescent="0.3">
      <c r="B1818" s="86">
        <v>45803</v>
      </c>
      <c r="C1818" s="9" t="s">
        <v>134</v>
      </c>
      <c r="D1818" s="9" t="s">
        <v>20</v>
      </c>
      <c r="E1818" s="57" t="s">
        <v>135</v>
      </c>
      <c r="F1818" s="58"/>
      <c r="G1818" s="58">
        <v>2.2000000000000002</v>
      </c>
      <c r="H1818" s="58" t="s">
        <v>10</v>
      </c>
    </row>
    <row r="1819" spans="2:8" ht="15" customHeight="1" x14ac:dyDescent="0.3">
      <c r="B1819" s="86">
        <v>45803</v>
      </c>
      <c r="C1819" s="20" t="s">
        <v>189</v>
      </c>
      <c r="D1819" s="112" t="s">
        <v>12</v>
      </c>
      <c r="E1819" s="18" t="s">
        <v>92</v>
      </c>
      <c r="F1819" s="58"/>
      <c r="G1819" s="58">
        <v>105</v>
      </c>
      <c r="H1819" s="58" t="s">
        <v>10</v>
      </c>
    </row>
    <row r="1820" spans="2:8" ht="15" customHeight="1" x14ac:dyDescent="0.3">
      <c r="B1820" s="86">
        <v>45803</v>
      </c>
      <c r="C1820" s="9" t="s">
        <v>73</v>
      </c>
      <c r="D1820" s="9" t="s">
        <v>71</v>
      </c>
      <c r="E1820" s="57" t="s">
        <v>74</v>
      </c>
      <c r="F1820" s="58"/>
      <c r="G1820" s="58">
        <v>1</v>
      </c>
      <c r="H1820" s="58" t="s">
        <v>10</v>
      </c>
    </row>
    <row r="1821" spans="2:8" ht="15" customHeight="1" x14ac:dyDescent="0.3">
      <c r="B1821" s="86">
        <v>45803</v>
      </c>
      <c r="C1821" s="9" t="s">
        <v>39</v>
      </c>
      <c r="D1821" s="9" t="s">
        <v>20</v>
      </c>
      <c r="E1821" s="57" t="s">
        <v>40</v>
      </c>
      <c r="F1821" s="58"/>
      <c r="G1821" s="58">
        <v>5</v>
      </c>
      <c r="H1821" s="58" t="s">
        <v>10</v>
      </c>
    </row>
    <row r="1822" spans="2:8" ht="15" customHeight="1" x14ac:dyDescent="0.3">
      <c r="B1822" s="86">
        <v>45803</v>
      </c>
      <c r="C1822" s="9" t="s">
        <v>41</v>
      </c>
      <c r="D1822" s="9" t="s">
        <v>20</v>
      </c>
      <c r="E1822" s="57" t="s">
        <v>42</v>
      </c>
      <c r="F1822" s="58"/>
      <c r="G1822" s="58">
        <v>5</v>
      </c>
      <c r="H1822" s="58" t="s">
        <v>10</v>
      </c>
    </row>
    <row r="1823" spans="2:8" ht="15" customHeight="1" x14ac:dyDescent="0.3">
      <c r="B1823" s="86">
        <v>45803</v>
      </c>
      <c r="C1823" s="9" t="s">
        <v>51</v>
      </c>
      <c r="D1823" s="9" t="s">
        <v>20</v>
      </c>
      <c r="E1823" s="57" t="s">
        <v>52</v>
      </c>
      <c r="F1823" s="58"/>
      <c r="G1823" s="58">
        <v>4</v>
      </c>
      <c r="H1823" s="58" t="s">
        <v>10</v>
      </c>
    </row>
    <row r="1824" spans="2:8" ht="15" customHeight="1" x14ac:dyDescent="0.3">
      <c r="B1824" s="86">
        <v>45803</v>
      </c>
      <c r="C1824" s="18" t="s">
        <v>178</v>
      </c>
      <c r="D1824" s="18" t="s">
        <v>20</v>
      </c>
      <c r="E1824" s="18" t="s">
        <v>177</v>
      </c>
      <c r="F1824" s="58">
        <v>6</v>
      </c>
      <c r="G1824" s="58"/>
      <c r="H1824" s="58" t="s">
        <v>18</v>
      </c>
    </row>
    <row r="1825" spans="2:8" ht="15" customHeight="1" x14ac:dyDescent="0.3">
      <c r="B1825" s="86">
        <v>45803</v>
      </c>
      <c r="C1825" s="9" t="s">
        <v>11</v>
      </c>
      <c r="D1825" s="9" t="s">
        <v>12</v>
      </c>
      <c r="E1825" s="57" t="s">
        <v>13</v>
      </c>
      <c r="F1825" s="58"/>
      <c r="G1825" s="58">
        <v>20</v>
      </c>
      <c r="H1825" s="58" t="s">
        <v>10</v>
      </c>
    </row>
    <row r="1826" spans="2:8" ht="15" customHeight="1" x14ac:dyDescent="0.3">
      <c r="B1826" s="86">
        <v>45803</v>
      </c>
      <c r="C1826" s="18" t="s">
        <v>178</v>
      </c>
      <c r="D1826" s="18" t="s">
        <v>20</v>
      </c>
      <c r="E1826" s="18" t="s">
        <v>177</v>
      </c>
      <c r="F1826" s="58"/>
      <c r="G1826" s="58">
        <v>1.3</v>
      </c>
      <c r="H1826" s="58" t="s">
        <v>10</v>
      </c>
    </row>
    <row r="1827" spans="2:8" ht="15" customHeight="1" x14ac:dyDescent="0.3">
      <c r="B1827" s="86">
        <v>45805</v>
      </c>
      <c r="C1827" s="9" t="s">
        <v>39</v>
      </c>
      <c r="D1827" s="9" t="s">
        <v>20</v>
      </c>
      <c r="E1827" s="57" t="s">
        <v>40</v>
      </c>
      <c r="F1827" s="58">
        <v>10</v>
      </c>
      <c r="G1827" s="58"/>
      <c r="H1827" s="58" t="s">
        <v>18</v>
      </c>
    </row>
    <row r="1828" spans="2:8" ht="15" customHeight="1" x14ac:dyDescent="0.3">
      <c r="B1828" s="86">
        <v>45805</v>
      </c>
      <c r="C1828" s="9" t="s">
        <v>41</v>
      </c>
      <c r="D1828" s="9" t="s">
        <v>20</v>
      </c>
      <c r="E1828" s="57" t="s">
        <v>42</v>
      </c>
      <c r="F1828" s="58">
        <v>10</v>
      </c>
      <c r="G1828" s="58"/>
      <c r="H1828" s="58" t="s">
        <v>18</v>
      </c>
    </row>
    <row r="1829" spans="2:8" ht="15" customHeight="1" x14ac:dyDescent="0.3">
      <c r="B1829" s="86">
        <v>45805</v>
      </c>
      <c r="C1829" s="20" t="s">
        <v>189</v>
      </c>
      <c r="D1829" s="112" t="s">
        <v>12</v>
      </c>
      <c r="E1829" s="18" t="s">
        <v>92</v>
      </c>
      <c r="F1829" s="58">
        <f>5*12</f>
        <v>60</v>
      </c>
      <c r="G1829" s="58"/>
      <c r="H1829" s="58" t="s">
        <v>18</v>
      </c>
    </row>
    <row r="1830" spans="2:8" ht="15" customHeight="1" x14ac:dyDescent="0.3">
      <c r="B1830" s="86">
        <v>45805</v>
      </c>
      <c r="C1830" s="9" t="s">
        <v>7</v>
      </c>
      <c r="D1830" s="9" t="s">
        <v>8</v>
      </c>
      <c r="E1830" s="57" t="s">
        <v>9</v>
      </c>
      <c r="F1830" s="58"/>
      <c r="G1830" s="58">
        <v>1</v>
      </c>
      <c r="H1830" s="58" t="s">
        <v>10</v>
      </c>
    </row>
    <row r="1831" spans="2:8" ht="15" customHeight="1" x14ac:dyDescent="0.3">
      <c r="B1831" s="86">
        <v>45806</v>
      </c>
      <c r="C1831" s="9" t="s">
        <v>7</v>
      </c>
      <c r="D1831" s="9" t="s">
        <v>8</v>
      </c>
      <c r="E1831" s="57" t="s">
        <v>9</v>
      </c>
      <c r="F1831" s="58">
        <v>2</v>
      </c>
      <c r="G1831" s="58"/>
      <c r="H1831" s="58" t="s">
        <v>18</v>
      </c>
    </row>
    <row r="1832" spans="2:8" ht="15" customHeight="1" x14ac:dyDescent="0.3">
      <c r="B1832" s="86">
        <v>45806</v>
      </c>
      <c r="C1832" s="9" t="s">
        <v>28</v>
      </c>
      <c r="D1832" s="9" t="s">
        <v>8</v>
      </c>
      <c r="E1832" s="57" t="s">
        <v>29</v>
      </c>
      <c r="F1832" s="58">
        <v>1</v>
      </c>
      <c r="G1832" s="58"/>
      <c r="H1832" s="58" t="s">
        <v>18</v>
      </c>
    </row>
    <row r="1833" spans="2:8" ht="15" customHeight="1" x14ac:dyDescent="0.3">
      <c r="B1833" s="86">
        <v>45806</v>
      </c>
      <c r="C1833" s="9" t="s">
        <v>30</v>
      </c>
      <c r="D1833" s="9" t="s">
        <v>8</v>
      </c>
      <c r="E1833" s="57" t="s">
        <v>31</v>
      </c>
      <c r="F1833" s="58">
        <v>1</v>
      </c>
      <c r="G1833" s="58"/>
      <c r="H1833" s="58" t="s">
        <v>18</v>
      </c>
    </row>
    <row r="1834" spans="2:8" ht="15" customHeight="1" x14ac:dyDescent="0.3">
      <c r="B1834" s="86">
        <v>45806</v>
      </c>
      <c r="C1834" s="9" t="s">
        <v>43</v>
      </c>
      <c r="D1834" s="9" t="s">
        <v>20</v>
      </c>
      <c r="E1834" s="57" t="s">
        <v>44</v>
      </c>
      <c r="F1834" s="58">
        <v>26</v>
      </c>
      <c r="G1834" s="58"/>
      <c r="H1834" s="58" t="s">
        <v>18</v>
      </c>
    </row>
    <row r="1835" spans="2:8" ht="15" customHeight="1" x14ac:dyDescent="0.3">
      <c r="B1835" s="86">
        <v>45806</v>
      </c>
      <c r="C1835" s="90" t="s">
        <v>28</v>
      </c>
      <c r="D1835" s="91" t="s">
        <v>8</v>
      </c>
      <c r="E1835" s="92" t="s">
        <v>29</v>
      </c>
      <c r="F1835" s="58"/>
      <c r="G1835" s="58">
        <v>1</v>
      </c>
      <c r="H1835" s="58" t="s">
        <v>10</v>
      </c>
    </row>
    <row r="1836" spans="2:8" ht="15" customHeight="1" x14ac:dyDescent="0.3">
      <c r="B1836" s="86">
        <v>45807</v>
      </c>
      <c r="C1836" s="9" t="s">
        <v>128</v>
      </c>
      <c r="D1836" s="9" t="s">
        <v>12</v>
      </c>
      <c r="E1836" s="57" t="s">
        <v>129</v>
      </c>
      <c r="F1836" s="58"/>
      <c r="G1836" s="58">
        <f>109-88</f>
        <v>21</v>
      </c>
      <c r="H1836" s="58" t="s">
        <v>10</v>
      </c>
    </row>
    <row r="1837" spans="2:8" ht="15" customHeight="1" x14ac:dyDescent="0.3">
      <c r="B1837" s="86">
        <v>45807</v>
      </c>
      <c r="C1837" s="9" t="s">
        <v>7</v>
      </c>
      <c r="D1837" s="9" t="s">
        <v>8</v>
      </c>
      <c r="E1837" s="57" t="s">
        <v>9</v>
      </c>
      <c r="F1837" s="58"/>
      <c r="G1837" s="58">
        <v>1</v>
      </c>
      <c r="H1837" s="58" t="s">
        <v>10</v>
      </c>
    </row>
    <row r="1838" spans="2:8" ht="15" customHeight="1" x14ac:dyDescent="0.3">
      <c r="B1838" s="86">
        <v>45807</v>
      </c>
      <c r="C1838" s="9" t="s">
        <v>28</v>
      </c>
      <c r="D1838" s="9" t="s">
        <v>8</v>
      </c>
      <c r="E1838" s="57" t="s">
        <v>29</v>
      </c>
      <c r="F1838" s="58"/>
      <c r="G1838" s="58">
        <v>1</v>
      </c>
      <c r="H1838" s="58" t="s">
        <v>10</v>
      </c>
    </row>
    <row r="1839" spans="2:8" ht="15" customHeight="1" x14ac:dyDescent="0.3">
      <c r="B1839" s="86">
        <v>45807</v>
      </c>
      <c r="C1839" s="9" t="s">
        <v>30</v>
      </c>
      <c r="D1839" s="9" t="s">
        <v>8</v>
      </c>
      <c r="E1839" s="57" t="s">
        <v>31</v>
      </c>
      <c r="F1839" s="58"/>
      <c r="G1839" s="58">
        <v>1</v>
      </c>
      <c r="H1839" s="58" t="s">
        <v>10</v>
      </c>
    </row>
    <row r="1840" spans="2:8" ht="15" customHeight="1" x14ac:dyDescent="0.3">
      <c r="B1840" s="86">
        <v>45807</v>
      </c>
      <c r="C1840" s="9" t="s">
        <v>75</v>
      </c>
      <c r="D1840" s="9" t="s">
        <v>8</v>
      </c>
      <c r="E1840" s="57" t="s">
        <v>76</v>
      </c>
      <c r="F1840" s="58"/>
      <c r="G1840" s="58">
        <v>1</v>
      </c>
      <c r="H1840" s="58" t="s">
        <v>10</v>
      </c>
    </row>
    <row r="1841" spans="2:8" ht="15" customHeight="1" x14ac:dyDescent="0.3">
      <c r="B1841" s="86">
        <v>45807</v>
      </c>
      <c r="C1841" s="20" t="s">
        <v>189</v>
      </c>
      <c r="D1841" s="112" t="s">
        <v>12</v>
      </c>
      <c r="E1841" s="18" t="s">
        <v>92</v>
      </c>
      <c r="F1841" s="58"/>
      <c r="G1841" s="58">
        <v>76</v>
      </c>
      <c r="H1841" s="58" t="s">
        <v>10</v>
      </c>
    </row>
    <row r="1842" spans="2:8" ht="15" customHeight="1" x14ac:dyDescent="0.3">
      <c r="B1842" s="86">
        <v>45807</v>
      </c>
      <c r="C1842" s="9" t="s">
        <v>43</v>
      </c>
      <c r="D1842" s="9" t="s">
        <v>20</v>
      </c>
      <c r="E1842" s="57" t="s">
        <v>44</v>
      </c>
      <c r="F1842" s="58"/>
      <c r="G1842" s="58">
        <f>31.3-26</f>
        <v>5.3000000000000007</v>
      </c>
      <c r="H1842" s="58" t="s">
        <v>10</v>
      </c>
    </row>
    <row r="1843" spans="2:8" ht="15" customHeight="1" x14ac:dyDescent="0.3">
      <c r="B1843" s="86">
        <v>45807</v>
      </c>
      <c r="C1843" s="9" t="s">
        <v>73</v>
      </c>
      <c r="D1843" s="9" t="s">
        <v>71</v>
      </c>
      <c r="E1843" s="57" t="s">
        <v>74</v>
      </c>
      <c r="F1843" s="58"/>
      <c r="G1843" s="58">
        <v>1</v>
      </c>
      <c r="H1843" s="58" t="s">
        <v>10</v>
      </c>
    </row>
    <row r="1844" spans="2:8" ht="15" customHeight="1" x14ac:dyDescent="0.3">
      <c r="B1844" s="86">
        <v>45807</v>
      </c>
      <c r="C1844" s="9" t="s">
        <v>61</v>
      </c>
      <c r="D1844" s="9" t="s">
        <v>20</v>
      </c>
      <c r="E1844" s="57" t="s">
        <v>62</v>
      </c>
      <c r="F1844" s="58"/>
      <c r="G1844" s="58">
        <v>6</v>
      </c>
      <c r="H1844" s="58" t="s">
        <v>10</v>
      </c>
    </row>
    <row r="1845" spans="2:8" ht="15" customHeight="1" x14ac:dyDescent="0.3">
      <c r="B1845" s="86">
        <v>45807</v>
      </c>
      <c r="C1845" s="18" t="s">
        <v>178</v>
      </c>
      <c r="D1845" s="9" t="s">
        <v>20</v>
      </c>
      <c r="E1845" s="57" t="s">
        <v>177</v>
      </c>
      <c r="F1845" s="58"/>
      <c r="G1845" s="58">
        <v>4</v>
      </c>
      <c r="H1845" s="58" t="s">
        <v>10</v>
      </c>
    </row>
    <row r="1846" spans="2:8" ht="15" customHeight="1" x14ac:dyDescent="0.3">
      <c r="B1846" s="86">
        <v>45808</v>
      </c>
      <c r="C1846" s="9" t="s">
        <v>7</v>
      </c>
      <c r="D1846" s="9" t="s">
        <v>8</v>
      </c>
      <c r="E1846" s="57" t="s">
        <v>9</v>
      </c>
      <c r="F1846" s="58">
        <v>2</v>
      </c>
      <c r="G1846" s="58"/>
      <c r="H1846" s="58" t="s">
        <v>18</v>
      </c>
    </row>
    <row r="1847" spans="2:8" ht="15" customHeight="1" x14ac:dyDescent="0.3">
      <c r="B1847" s="86">
        <v>45808</v>
      </c>
      <c r="C1847" s="9" t="s">
        <v>28</v>
      </c>
      <c r="D1847" s="9" t="s">
        <v>8</v>
      </c>
      <c r="E1847" s="57" t="s">
        <v>29</v>
      </c>
      <c r="F1847" s="58">
        <v>2</v>
      </c>
      <c r="G1847" s="58"/>
      <c r="H1847" s="58" t="s">
        <v>18</v>
      </c>
    </row>
    <row r="1848" spans="2:8" ht="15" customHeight="1" x14ac:dyDescent="0.3">
      <c r="B1848" s="86">
        <v>45808</v>
      </c>
      <c r="C1848" s="9" t="s">
        <v>75</v>
      </c>
      <c r="D1848" s="9" t="s">
        <v>8</v>
      </c>
      <c r="E1848" s="57" t="s">
        <v>76</v>
      </c>
      <c r="F1848" s="58">
        <v>1</v>
      </c>
      <c r="G1848" s="58"/>
      <c r="H1848" s="58" t="s">
        <v>18</v>
      </c>
    </row>
    <row r="1849" spans="2:8" ht="15" customHeight="1" x14ac:dyDescent="0.3">
      <c r="B1849" s="86">
        <v>45808</v>
      </c>
      <c r="C1849" s="8" t="s">
        <v>93</v>
      </c>
      <c r="D1849" s="8" t="s">
        <v>12</v>
      </c>
      <c r="E1849" s="18" t="s">
        <v>94</v>
      </c>
      <c r="F1849" s="58">
        <v>75</v>
      </c>
      <c r="G1849" s="58"/>
      <c r="H1849" s="58" t="s">
        <v>18</v>
      </c>
    </row>
    <row r="1850" spans="2:8" ht="15" customHeight="1" x14ac:dyDescent="0.3">
      <c r="B1850" s="86">
        <v>45808</v>
      </c>
      <c r="C1850" s="9" t="s">
        <v>39</v>
      </c>
      <c r="D1850" s="9" t="s">
        <v>20</v>
      </c>
      <c r="E1850" s="57" t="s">
        <v>40</v>
      </c>
      <c r="F1850" s="58">
        <v>5</v>
      </c>
      <c r="G1850" s="58"/>
      <c r="H1850" s="58" t="s">
        <v>18</v>
      </c>
    </row>
    <row r="1851" spans="2:8" ht="15" customHeight="1" x14ac:dyDescent="0.3">
      <c r="B1851" s="86">
        <v>45808</v>
      </c>
      <c r="C1851" s="9" t="s">
        <v>41</v>
      </c>
      <c r="D1851" s="9" t="s">
        <v>20</v>
      </c>
      <c r="E1851" s="57" t="s">
        <v>42</v>
      </c>
      <c r="F1851" s="58">
        <v>5</v>
      </c>
      <c r="G1851" s="58"/>
      <c r="H1851" s="58" t="s">
        <v>18</v>
      </c>
    </row>
    <row r="1852" spans="2:8" ht="15" customHeight="1" x14ac:dyDescent="0.3">
      <c r="B1852" s="86">
        <v>45809</v>
      </c>
      <c r="C1852" s="14" t="s">
        <v>126</v>
      </c>
      <c r="D1852" s="14" t="s">
        <v>12</v>
      </c>
      <c r="E1852" s="18" t="s">
        <v>97</v>
      </c>
      <c r="F1852" s="58">
        <v>60</v>
      </c>
      <c r="G1852" s="58"/>
      <c r="H1852" s="58" t="s">
        <v>18</v>
      </c>
    </row>
    <row r="1853" spans="2:8" ht="15" customHeight="1" x14ac:dyDescent="0.3">
      <c r="B1853" s="86">
        <v>45809</v>
      </c>
      <c r="C1853" s="9" t="s">
        <v>73</v>
      </c>
      <c r="D1853" s="9" t="s">
        <v>71</v>
      </c>
      <c r="E1853" s="57" t="s">
        <v>74</v>
      </c>
      <c r="F1853" s="58">
        <v>4</v>
      </c>
      <c r="G1853" s="58"/>
      <c r="H1853" s="58" t="s">
        <v>18</v>
      </c>
    </row>
    <row r="1854" spans="2:8" ht="15" customHeight="1" x14ac:dyDescent="0.3">
      <c r="B1854" s="86">
        <v>45809</v>
      </c>
      <c r="C1854" s="9" t="s">
        <v>70</v>
      </c>
      <c r="D1854" s="9" t="s">
        <v>71</v>
      </c>
      <c r="E1854" s="57" t="s">
        <v>72</v>
      </c>
      <c r="F1854" s="58">
        <v>3</v>
      </c>
      <c r="G1854" s="58"/>
      <c r="H1854" s="58" t="s">
        <v>18</v>
      </c>
    </row>
    <row r="1855" spans="2:8" ht="15" customHeight="1" x14ac:dyDescent="0.3">
      <c r="B1855" s="86">
        <v>45809</v>
      </c>
      <c r="C1855" s="9" t="s">
        <v>39</v>
      </c>
      <c r="D1855" s="9" t="s">
        <v>20</v>
      </c>
      <c r="E1855" s="57" t="s">
        <v>40</v>
      </c>
      <c r="F1855" s="58">
        <v>5</v>
      </c>
      <c r="G1855" s="58"/>
      <c r="H1855" s="58" t="s">
        <v>18</v>
      </c>
    </row>
    <row r="1856" spans="2:8" ht="15" customHeight="1" x14ac:dyDescent="0.3">
      <c r="B1856" s="86">
        <v>45809</v>
      </c>
      <c r="C1856" s="9" t="s">
        <v>41</v>
      </c>
      <c r="D1856" s="9" t="s">
        <v>20</v>
      </c>
      <c r="E1856" s="57" t="s">
        <v>42</v>
      </c>
      <c r="F1856" s="58">
        <v>5</v>
      </c>
      <c r="G1856" s="58"/>
      <c r="H1856" s="58" t="s">
        <v>18</v>
      </c>
    </row>
    <row r="1857" spans="2:8" ht="15" customHeight="1" x14ac:dyDescent="0.3">
      <c r="B1857" s="86">
        <v>45809</v>
      </c>
      <c r="C1857" s="9" t="s">
        <v>73</v>
      </c>
      <c r="D1857" s="9" t="s">
        <v>71</v>
      </c>
      <c r="E1857" s="57" t="s">
        <v>74</v>
      </c>
      <c r="F1857" s="58">
        <v>2</v>
      </c>
      <c r="G1857" s="58"/>
      <c r="H1857" s="58" t="s">
        <v>18</v>
      </c>
    </row>
    <row r="1858" spans="2:8" ht="15" customHeight="1" x14ac:dyDescent="0.3">
      <c r="B1858" s="86">
        <v>45810</v>
      </c>
      <c r="C1858" s="9" t="s">
        <v>77</v>
      </c>
      <c r="D1858" s="9" t="s">
        <v>20</v>
      </c>
      <c r="E1858" s="18" t="s">
        <v>78</v>
      </c>
      <c r="F1858" s="58">
        <v>1.3</v>
      </c>
      <c r="G1858" s="58"/>
      <c r="H1858" s="58" t="s">
        <v>18</v>
      </c>
    </row>
    <row r="1859" spans="2:8" ht="15" customHeight="1" x14ac:dyDescent="0.3">
      <c r="B1859" s="86">
        <v>45810</v>
      </c>
      <c r="C1859" s="26" t="s">
        <v>68</v>
      </c>
      <c r="D1859" s="26" t="s">
        <v>12</v>
      </c>
      <c r="E1859" s="18" t="s">
        <v>69</v>
      </c>
      <c r="F1859" s="58">
        <v>10</v>
      </c>
      <c r="G1859" s="58"/>
      <c r="H1859" s="58" t="s">
        <v>18</v>
      </c>
    </row>
    <row r="1860" spans="2:8" ht="15" customHeight="1" x14ac:dyDescent="0.3">
      <c r="B1860" s="86">
        <v>45810</v>
      </c>
      <c r="C1860" s="110" t="s">
        <v>183</v>
      </c>
      <c r="D1860" s="110" t="s">
        <v>12</v>
      </c>
      <c r="E1860" s="110" t="s">
        <v>184</v>
      </c>
      <c r="F1860" s="58">
        <v>30</v>
      </c>
      <c r="G1860" s="58"/>
      <c r="H1860" s="58" t="s">
        <v>18</v>
      </c>
    </row>
    <row r="1861" spans="2:8" ht="15" customHeight="1" x14ac:dyDescent="0.3">
      <c r="B1861" s="86">
        <v>45810</v>
      </c>
      <c r="C1861" s="18" t="s">
        <v>32</v>
      </c>
      <c r="D1861" s="25" t="s">
        <v>160</v>
      </c>
      <c r="E1861" s="18" t="s">
        <v>34</v>
      </c>
      <c r="F1861" s="58">
        <v>1</v>
      </c>
      <c r="G1861" s="58"/>
      <c r="H1861" s="58" t="s">
        <v>18</v>
      </c>
    </row>
    <row r="1862" spans="2:8" ht="15" customHeight="1" x14ac:dyDescent="0.3">
      <c r="B1862" s="86">
        <v>45810</v>
      </c>
      <c r="C1862" s="18" t="s">
        <v>117</v>
      </c>
      <c r="D1862" s="25" t="s">
        <v>160</v>
      </c>
      <c r="E1862" s="18" t="s">
        <v>118</v>
      </c>
      <c r="F1862" s="58">
        <v>1</v>
      </c>
      <c r="G1862" s="58"/>
      <c r="H1862" s="58" t="s">
        <v>18</v>
      </c>
    </row>
    <row r="1863" spans="2:8" ht="15" customHeight="1" x14ac:dyDescent="0.3">
      <c r="B1863" s="86">
        <v>45810</v>
      </c>
      <c r="C1863" s="18" t="s">
        <v>32</v>
      </c>
      <c r="D1863" s="25" t="s">
        <v>160</v>
      </c>
      <c r="E1863" s="18" t="s">
        <v>34</v>
      </c>
      <c r="F1863" s="58"/>
      <c r="G1863" s="58">
        <v>1</v>
      </c>
      <c r="H1863" s="58" t="s">
        <v>10</v>
      </c>
    </row>
    <row r="1864" spans="2:8" ht="15" customHeight="1" x14ac:dyDescent="0.3">
      <c r="B1864" s="86">
        <v>45810</v>
      </c>
      <c r="C1864" s="18" t="s">
        <v>117</v>
      </c>
      <c r="D1864" s="25" t="s">
        <v>160</v>
      </c>
      <c r="E1864" s="18" t="s">
        <v>118</v>
      </c>
      <c r="F1864" s="58"/>
      <c r="G1864" s="58">
        <v>1</v>
      </c>
      <c r="H1864" s="58" t="s">
        <v>10</v>
      </c>
    </row>
    <row r="1865" spans="2:8" ht="15" customHeight="1" x14ac:dyDescent="0.3">
      <c r="B1865" s="86">
        <v>45810</v>
      </c>
      <c r="C1865" s="9" t="s">
        <v>128</v>
      </c>
      <c r="D1865" s="9" t="s">
        <v>12</v>
      </c>
      <c r="E1865" s="57" t="s">
        <v>129</v>
      </c>
      <c r="F1865" s="58"/>
      <c r="G1865" s="58">
        <v>26</v>
      </c>
      <c r="H1865" s="58" t="s">
        <v>10</v>
      </c>
    </row>
    <row r="1866" spans="2:8" ht="15" customHeight="1" x14ac:dyDescent="0.3">
      <c r="B1866" s="86">
        <v>45810</v>
      </c>
      <c r="C1866" s="9" t="s">
        <v>30</v>
      </c>
      <c r="D1866" s="9" t="s">
        <v>8</v>
      </c>
      <c r="E1866" s="57" t="s">
        <v>31</v>
      </c>
      <c r="F1866" s="58"/>
      <c r="G1866" s="58">
        <v>1</v>
      </c>
      <c r="H1866" s="58" t="s">
        <v>10</v>
      </c>
    </row>
    <row r="1867" spans="2:8" ht="15" customHeight="1" x14ac:dyDescent="0.3">
      <c r="B1867" s="86">
        <v>45810</v>
      </c>
      <c r="C1867" s="9" t="s">
        <v>7</v>
      </c>
      <c r="D1867" s="9" t="s">
        <v>8</v>
      </c>
      <c r="E1867" s="57" t="s">
        <v>9</v>
      </c>
      <c r="F1867" s="58"/>
      <c r="G1867" s="58">
        <v>3</v>
      </c>
      <c r="H1867" s="58" t="s">
        <v>10</v>
      </c>
    </row>
    <row r="1868" spans="2:8" ht="15" customHeight="1" x14ac:dyDescent="0.3">
      <c r="B1868" s="86">
        <v>45810</v>
      </c>
      <c r="C1868" s="9" t="s">
        <v>28</v>
      </c>
      <c r="D1868" s="9" t="s">
        <v>8</v>
      </c>
      <c r="E1868" s="57" t="s">
        <v>29</v>
      </c>
      <c r="F1868" s="58"/>
      <c r="G1868" s="58">
        <v>2</v>
      </c>
      <c r="H1868" s="58" t="s">
        <v>10</v>
      </c>
    </row>
    <row r="1869" spans="2:8" ht="15" customHeight="1" x14ac:dyDescent="0.3">
      <c r="B1869" s="86">
        <v>45810</v>
      </c>
      <c r="C1869" s="9" t="s">
        <v>75</v>
      </c>
      <c r="D1869" s="9" t="s">
        <v>8</v>
      </c>
      <c r="E1869" s="57" t="s">
        <v>76</v>
      </c>
      <c r="F1869" s="58"/>
      <c r="G1869" s="58">
        <v>1</v>
      </c>
      <c r="H1869" s="58" t="s">
        <v>10</v>
      </c>
    </row>
    <row r="1870" spans="2:8" ht="15" customHeight="1" x14ac:dyDescent="0.3">
      <c r="B1870" s="86">
        <v>45810</v>
      </c>
      <c r="C1870" s="9" t="s">
        <v>77</v>
      </c>
      <c r="D1870" s="9" t="s">
        <v>20</v>
      </c>
      <c r="E1870" s="18" t="s">
        <v>78</v>
      </c>
      <c r="F1870" s="58"/>
      <c r="G1870" s="58">
        <v>0.6</v>
      </c>
      <c r="H1870" s="58" t="s">
        <v>10</v>
      </c>
    </row>
    <row r="1871" spans="2:8" ht="15" customHeight="1" x14ac:dyDescent="0.3">
      <c r="B1871" s="86">
        <v>45810</v>
      </c>
      <c r="C1871" s="14" t="s">
        <v>126</v>
      </c>
      <c r="D1871" s="14" t="s">
        <v>12</v>
      </c>
      <c r="E1871" s="18" t="s">
        <v>97</v>
      </c>
      <c r="F1871" s="58"/>
      <c r="G1871" s="58">
        <v>1</v>
      </c>
      <c r="H1871" s="58" t="s">
        <v>10</v>
      </c>
    </row>
    <row r="1872" spans="2:8" ht="15" customHeight="1" x14ac:dyDescent="0.3">
      <c r="B1872" s="86">
        <v>45810</v>
      </c>
      <c r="C1872" s="20" t="s">
        <v>189</v>
      </c>
      <c r="D1872" s="112" t="s">
        <v>12</v>
      </c>
      <c r="E1872" s="18" t="s">
        <v>92</v>
      </c>
      <c r="F1872" s="58"/>
      <c r="G1872" s="58">
        <v>60</v>
      </c>
      <c r="H1872" s="58" t="s">
        <v>10</v>
      </c>
    </row>
    <row r="1873" spans="2:8" ht="15" customHeight="1" x14ac:dyDescent="0.3">
      <c r="B1873" s="86">
        <v>45810</v>
      </c>
      <c r="C1873" s="9" t="s">
        <v>70</v>
      </c>
      <c r="D1873" s="9" t="s">
        <v>71</v>
      </c>
      <c r="E1873" s="57" t="s">
        <v>72</v>
      </c>
      <c r="F1873" s="58"/>
      <c r="G1873" s="58">
        <v>1</v>
      </c>
      <c r="H1873" s="58" t="s">
        <v>10</v>
      </c>
    </row>
    <row r="1874" spans="2:8" ht="15" customHeight="1" x14ac:dyDescent="0.3">
      <c r="B1874" s="86">
        <v>45810</v>
      </c>
      <c r="C1874" s="9" t="s">
        <v>39</v>
      </c>
      <c r="D1874" s="9" t="s">
        <v>20</v>
      </c>
      <c r="E1874" s="57" t="s">
        <v>40</v>
      </c>
      <c r="F1874" s="58"/>
      <c r="G1874" s="58">
        <v>25</v>
      </c>
      <c r="H1874" s="58" t="s">
        <v>10</v>
      </c>
    </row>
    <row r="1875" spans="2:8" ht="15" customHeight="1" x14ac:dyDescent="0.3">
      <c r="B1875" s="86">
        <v>45810</v>
      </c>
      <c r="C1875" s="9" t="s">
        <v>41</v>
      </c>
      <c r="D1875" s="9" t="s">
        <v>20</v>
      </c>
      <c r="E1875" s="57" t="s">
        <v>42</v>
      </c>
      <c r="F1875" s="58"/>
      <c r="G1875" s="58">
        <f>30-3.3</f>
        <v>26.7</v>
      </c>
      <c r="H1875" s="58" t="s">
        <v>10</v>
      </c>
    </row>
    <row r="1876" spans="2:8" ht="15" customHeight="1" x14ac:dyDescent="0.3">
      <c r="B1876" s="86">
        <v>45810</v>
      </c>
      <c r="C1876" s="26" t="s">
        <v>68</v>
      </c>
      <c r="D1876" s="26" t="s">
        <v>12</v>
      </c>
      <c r="E1876" s="18" t="s">
        <v>69</v>
      </c>
      <c r="F1876" s="58"/>
      <c r="G1876" s="58">
        <f>26-8</f>
        <v>18</v>
      </c>
      <c r="H1876" s="58" t="s">
        <v>10</v>
      </c>
    </row>
    <row r="1877" spans="2:8" ht="15" customHeight="1" x14ac:dyDescent="0.3">
      <c r="B1877" s="86">
        <v>45810</v>
      </c>
      <c r="C1877" s="9" t="s">
        <v>61</v>
      </c>
      <c r="D1877" s="9" t="s">
        <v>20</v>
      </c>
      <c r="E1877" s="57" t="s">
        <v>62</v>
      </c>
      <c r="F1877" s="58"/>
      <c r="G1877" s="58">
        <v>2</v>
      </c>
      <c r="H1877" s="58" t="s">
        <v>10</v>
      </c>
    </row>
    <row r="1878" spans="2:8" ht="15" customHeight="1" x14ac:dyDescent="0.3">
      <c r="B1878" s="86">
        <v>45810</v>
      </c>
      <c r="C1878" s="18" t="s">
        <v>115</v>
      </c>
      <c r="D1878" s="18" t="s">
        <v>12</v>
      </c>
      <c r="E1878" s="18" t="s">
        <v>116</v>
      </c>
      <c r="F1878" s="58"/>
      <c r="G1878" s="58">
        <v>2</v>
      </c>
      <c r="H1878" s="58" t="s">
        <v>10</v>
      </c>
    </row>
    <row r="1879" spans="2:8" ht="15" customHeight="1" x14ac:dyDescent="0.3">
      <c r="B1879" s="86">
        <v>45810</v>
      </c>
      <c r="C1879" s="18" t="s">
        <v>178</v>
      </c>
      <c r="D1879" s="18" t="s">
        <v>12</v>
      </c>
      <c r="E1879" s="18" t="s">
        <v>177</v>
      </c>
      <c r="F1879" s="58"/>
      <c r="G1879" s="58">
        <v>2</v>
      </c>
      <c r="H1879" s="58" t="s">
        <v>10</v>
      </c>
    </row>
    <row r="1880" spans="2:8" ht="15" customHeight="1" x14ac:dyDescent="0.3">
      <c r="B1880" s="86">
        <v>45811</v>
      </c>
      <c r="C1880" s="9" t="s">
        <v>30</v>
      </c>
      <c r="D1880" s="9" t="s">
        <v>8</v>
      </c>
      <c r="E1880" s="57" t="s">
        <v>31</v>
      </c>
      <c r="F1880" s="58">
        <v>1</v>
      </c>
      <c r="G1880" s="58"/>
      <c r="H1880" s="58" t="s">
        <v>18</v>
      </c>
    </row>
    <row r="1881" spans="2:8" ht="15" customHeight="1" x14ac:dyDescent="0.3">
      <c r="B1881" s="86">
        <v>45811</v>
      </c>
      <c r="C1881" s="9" t="s">
        <v>28</v>
      </c>
      <c r="D1881" s="9" t="s">
        <v>8</v>
      </c>
      <c r="E1881" s="57" t="s">
        <v>29</v>
      </c>
      <c r="F1881" s="58">
        <v>1</v>
      </c>
      <c r="G1881" s="58"/>
      <c r="H1881" s="58" t="s">
        <v>18</v>
      </c>
    </row>
    <row r="1882" spans="2:8" ht="15" customHeight="1" x14ac:dyDescent="0.3">
      <c r="B1882" s="86">
        <v>45811</v>
      </c>
      <c r="C1882" s="26" t="s">
        <v>101</v>
      </c>
      <c r="D1882" s="26" t="s">
        <v>8</v>
      </c>
      <c r="E1882" s="18" t="s">
        <v>102</v>
      </c>
      <c r="F1882" s="58">
        <v>1</v>
      </c>
      <c r="G1882" s="58"/>
      <c r="H1882" s="58" t="s">
        <v>18</v>
      </c>
    </row>
    <row r="1883" spans="2:8" ht="15" customHeight="1" x14ac:dyDescent="0.3">
      <c r="B1883" s="86">
        <v>45811</v>
      </c>
      <c r="C1883" s="9" t="s">
        <v>51</v>
      </c>
      <c r="D1883" s="9" t="s">
        <v>20</v>
      </c>
      <c r="E1883" s="57" t="s">
        <v>52</v>
      </c>
      <c r="F1883" s="58">
        <v>10</v>
      </c>
      <c r="G1883" s="58"/>
      <c r="H1883" s="58" t="s">
        <v>18</v>
      </c>
    </row>
    <row r="1884" spans="2:8" ht="15" customHeight="1" x14ac:dyDescent="0.3">
      <c r="B1884" s="86">
        <v>45811</v>
      </c>
      <c r="C1884" s="9" t="s">
        <v>7</v>
      </c>
      <c r="D1884" s="9" t="s">
        <v>8</v>
      </c>
      <c r="E1884" s="57" t="s">
        <v>9</v>
      </c>
      <c r="F1884" s="58">
        <v>1</v>
      </c>
      <c r="G1884" s="58"/>
      <c r="H1884" s="58" t="s">
        <v>18</v>
      </c>
    </row>
    <row r="1885" spans="2:8" ht="15" customHeight="1" x14ac:dyDescent="0.3">
      <c r="B1885" s="86">
        <v>45812</v>
      </c>
      <c r="C1885" s="9" t="s">
        <v>28</v>
      </c>
      <c r="D1885" s="9" t="s">
        <v>8</v>
      </c>
      <c r="E1885" s="57" t="s">
        <v>29</v>
      </c>
      <c r="F1885" s="58">
        <v>3</v>
      </c>
      <c r="G1885" s="58"/>
      <c r="H1885" s="58" t="s">
        <v>18</v>
      </c>
    </row>
    <row r="1886" spans="2:8" ht="15" customHeight="1" x14ac:dyDescent="0.3">
      <c r="B1886" s="86">
        <v>45812</v>
      </c>
      <c r="C1886" s="9" t="s">
        <v>7</v>
      </c>
      <c r="D1886" s="9" t="s">
        <v>8</v>
      </c>
      <c r="E1886" s="57" t="s">
        <v>9</v>
      </c>
      <c r="F1886" s="58">
        <v>1</v>
      </c>
      <c r="G1886" s="58"/>
      <c r="H1886" s="58" t="s">
        <v>18</v>
      </c>
    </row>
    <row r="1887" spans="2:8" ht="15" customHeight="1" x14ac:dyDescent="0.3">
      <c r="B1887" s="86">
        <v>45812</v>
      </c>
      <c r="C1887" s="9" t="s">
        <v>39</v>
      </c>
      <c r="D1887" s="9" t="s">
        <v>20</v>
      </c>
      <c r="E1887" s="57" t="s">
        <v>40</v>
      </c>
      <c r="F1887" s="58">
        <v>10</v>
      </c>
      <c r="G1887" s="58"/>
      <c r="H1887" s="58" t="s">
        <v>18</v>
      </c>
    </row>
    <row r="1888" spans="2:8" ht="15" customHeight="1" x14ac:dyDescent="0.3">
      <c r="B1888" s="86">
        <v>45812</v>
      </c>
      <c r="C1888" s="9" t="s">
        <v>41</v>
      </c>
      <c r="D1888" s="9" t="s">
        <v>20</v>
      </c>
      <c r="E1888" s="57" t="s">
        <v>42</v>
      </c>
      <c r="F1888" s="58">
        <v>10</v>
      </c>
      <c r="G1888" s="58"/>
      <c r="H1888" s="58" t="s">
        <v>18</v>
      </c>
    </row>
    <row r="1889" spans="2:8" ht="15" customHeight="1" x14ac:dyDescent="0.3">
      <c r="B1889" s="86">
        <v>45812</v>
      </c>
      <c r="C1889" s="9" t="s">
        <v>61</v>
      </c>
      <c r="D1889" s="9" t="s">
        <v>20</v>
      </c>
      <c r="E1889" s="57" t="s">
        <v>62</v>
      </c>
      <c r="F1889" s="58">
        <v>10</v>
      </c>
      <c r="G1889" s="58"/>
      <c r="H1889" s="58" t="s">
        <v>18</v>
      </c>
    </row>
    <row r="1890" spans="2:8" ht="15" customHeight="1" x14ac:dyDescent="0.3">
      <c r="B1890" s="86">
        <v>45813</v>
      </c>
      <c r="C1890" s="9" t="s">
        <v>39</v>
      </c>
      <c r="D1890" s="9" t="s">
        <v>20</v>
      </c>
      <c r="E1890" s="57" t="s">
        <v>40</v>
      </c>
      <c r="F1890" s="58">
        <v>10</v>
      </c>
      <c r="G1890" s="58"/>
      <c r="H1890" s="58" t="s">
        <v>18</v>
      </c>
    </row>
    <row r="1891" spans="2:8" ht="15" customHeight="1" x14ac:dyDescent="0.3">
      <c r="B1891" s="86">
        <v>45813</v>
      </c>
      <c r="C1891" s="9" t="s">
        <v>41</v>
      </c>
      <c r="D1891" s="9" t="s">
        <v>20</v>
      </c>
      <c r="E1891" s="57" t="s">
        <v>42</v>
      </c>
      <c r="F1891" s="58">
        <v>10</v>
      </c>
      <c r="G1891" s="58"/>
      <c r="H1891" s="58" t="s">
        <v>18</v>
      </c>
    </row>
    <row r="1892" spans="2:8" ht="15" customHeight="1" x14ac:dyDescent="0.3">
      <c r="B1892" s="86">
        <v>45813</v>
      </c>
      <c r="C1892" s="18" t="s">
        <v>79</v>
      </c>
      <c r="D1892" s="18" t="s">
        <v>20</v>
      </c>
      <c r="E1892" s="18" t="s">
        <v>82</v>
      </c>
      <c r="F1892" s="58">
        <v>10</v>
      </c>
      <c r="G1892" s="58"/>
      <c r="H1892" s="58" t="s">
        <v>18</v>
      </c>
    </row>
    <row r="1893" spans="2:8" ht="15" customHeight="1" x14ac:dyDescent="0.3">
      <c r="B1893" s="86">
        <v>45816</v>
      </c>
      <c r="C1893" s="9" t="s">
        <v>28</v>
      </c>
      <c r="D1893" s="9" t="s">
        <v>8</v>
      </c>
      <c r="E1893" s="57" t="s">
        <v>29</v>
      </c>
      <c r="F1893" s="58">
        <v>2</v>
      </c>
      <c r="G1893" s="58"/>
      <c r="H1893" s="58" t="s">
        <v>18</v>
      </c>
    </row>
    <row r="1894" spans="2:8" ht="15" customHeight="1" x14ac:dyDescent="0.3">
      <c r="B1894" s="86">
        <v>45816</v>
      </c>
      <c r="C1894" s="9" t="s">
        <v>7</v>
      </c>
      <c r="D1894" s="9" t="s">
        <v>8</v>
      </c>
      <c r="E1894" s="57" t="s">
        <v>9</v>
      </c>
      <c r="F1894" s="58">
        <v>2</v>
      </c>
      <c r="G1894" s="58"/>
      <c r="H1894" s="58" t="s">
        <v>18</v>
      </c>
    </row>
    <row r="1895" spans="2:8" ht="15" customHeight="1" x14ac:dyDescent="0.3">
      <c r="B1895" s="86">
        <v>45816</v>
      </c>
      <c r="C1895" s="9" t="s">
        <v>30</v>
      </c>
      <c r="D1895" s="9" t="s">
        <v>8</v>
      </c>
      <c r="E1895" s="57" t="s">
        <v>31</v>
      </c>
      <c r="F1895" s="58">
        <v>1</v>
      </c>
      <c r="G1895" s="58"/>
      <c r="H1895" s="58" t="s">
        <v>18</v>
      </c>
    </row>
    <row r="1896" spans="2:8" ht="15" customHeight="1" x14ac:dyDescent="0.3">
      <c r="B1896" s="86">
        <v>45817</v>
      </c>
      <c r="C1896" s="26" t="s">
        <v>95</v>
      </c>
      <c r="D1896" s="26" t="s">
        <v>12</v>
      </c>
      <c r="E1896" s="18" t="s">
        <v>96</v>
      </c>
      <c r="F1896" s="58">
        <v>60</v>
      </c>
      <c r="G1896" s="58"/>
      <c r="H1896" s="58" t="s">
        <v>18</v>
      </c>
    </row>
    <row r="1897" spans="2:8" ht="15" customHeight="1" x14ac:dyDescent="0.3">
      <c r="B1897" s="86">
        <v>45817</v>
      </c>
      <c r="C1897" s="26" t="s">
        <v>101</v>
      </c>
      <c r="D1897" s="26" t="s">
        <v>8</v>
      </c>
      <c r="E1897" s="18" t="s">
        <v>102</v>
      </c>
      <c r="F1897" s="58">
        <v>1</v>
      </c>
      <c r="G1897" s="58"/>
      <c r="H1897" s="58" t="s">
        <v>18</v>
      </c>
    </row>
    <row r="1898" spans="2:8" ht="15" customHeight="1" x14ac:dyDescent="0.3">
      <c r="B1898" s="86">
        <v>45817</v>
      </c>
      <c r="C1898" s="9" t="s">
        <v>75</v>
      </c>
      <c r="D1898" s="9" t="s">
        <v>8</v>
      </c>
      <c r="E1898" s="57" t="s">
        <v>76</v>
      </c>
      <c r="F1898" s="58">
        <v>1</v>
      </c>
      <c r="G1898" s="58"/>
      <c r="H1898" s="58" t="s">
        <v>18</v>
      </c>
    </row>
    <row r="1899" spans="2:8" ht="15" customHeight="1" x14ac:dyDescent="0.3">
      <c r="B1899" s="86">
        <v>45817</v>
      </c>
      <c r="C1899" s="18" t="s">
        <v>115</v>
      </c>
      <c r="D1899" s="18" t="s">
        <v>12</v>
      </c>
      <c r="E1899" s="18" t="s">
        <v>116</v>
      </c>
      <c r="F1899" s="58">
        <v>5</v>
      </c>
      <c r="G1899" s="58"/>
      <c r="H1899" s="58" t="s">
        <v>18</v>
      </c>
    </row>
    <row r="1900" spans="2:8" ht="15" customHeight="1" x14ac:dyDescent="0.3">
      <c r="B1900" s="86">
        <v>45817</v>
      </c>
      <c r="C1900" s="18" t="s">
        <v>32</v>
      </c>
      <c r="D1900" s="25" t="s">
        <v>160</v>
      </c>
      <c r="E1900" s="18" t="s">
        <v>34</v>
      </c>
      <c r="F1900" s="58">
        <v>1</v>
      </c>
      <c r="G1900" s="58"/>
      <c r="H1900" s="58" t="s">
        <v>18</v>
      </c>
    </row>
    <row r="1901" spans="2:8" ht="15" customHeight="1" x14ac:dyDescent="0.3">
      <c r="B1901" s="86">
        <v>45817</v>
      </c>
      <c r="C1901" s="18" t="s">
        <v>117</v>
      </c>
      <c r="D1901" s="25" t="s">
        <v>160</v>
      </c>
      <c r="E1901" s="18" t="s">
        <v>118</v>
      </c>
      <c r="F1901" s="58">
        <v>1</v>
      </c>
      <c r="G1901" s="58"/>
      <c r="H1901" s="58" t="s">
        <v>18</v>
      </c>
    </row>
    <row r="1902" spans="2:8" ht="15" customHeight="1" x14ac:dyDescent="0.3">
      <c r="B1902" s="86">
        <v>45817</v>
      </c>
      <c r="C1902" s="18" t="s">
        <v>178</v>
      </c>
      <c r="D1902" s="18" t="s">
        <v>20</v>
      </c>
      <c r="E1902" s="18" t="s">
        <v>177</v>
      </c>
      <c r="F1902" s="58">
        <v>6</v>
      </c>
      <c r="G1902" s="58"/>
      <c r="H1902" s="58" t="s">
        <v>18</v>
      </c>
    </row>
    <row r="1903" spans="2:8" ht="15" customHeight="1" x14ac:dyDescent="0.3">
      <c r="B1903" s="86">
        <v>45817</v>
      </c>
      <c r="C1903" s="9" t="s">
        <v>68</v>
      </c>
      <c r="D1903" s="9" t="s">
        <v>12</v>
      </c>
      <c r="E1903" s="18" t="s">
        <v>69</v>
      </c>
      <c r="F1903" s="58">
        <v>8</v>
      </c>
      <c r="G1903" s="58"/>
      <c r="H1903" s="58" t="s">
        <v>18</v>
      </c>
    </row>
    <row r="1904" spans="2:8" ht="15" customHeight="1" x14ac:dyDescent="0.3">
      <c r="B1904" s="86">
        <v>45817</v>
      </c>
      <c r="C1904" s="14" t="s">
        <v>110</v>
      </c>
      <c r="D1904" s="14" t="s">
        <v>12</v>
      </c>
      <c r="E1904" s="18" t="s">
        <v>111</v>
      </c>
      <c r="F1904" s="58">
        <f>4*12</f>
        <v>48</v>
      </c>
      <c r="G1904" s="58"/>
      <c r="H1904" s="58" t="s">
        <v>18</v>
      </c>
    </row>
    <row r="1905" spans="2:8" ht="15" customHeight="1" x14ac:dyDescent="0.3">
      <c r="B1905" s="86">
        <v>45817</v>
      </c>
      <c r="C1905" s="9" t="s">
        <v>185</v>
      </c>
      <c r="D1905" s="9" t="s">
        <v>12</v>
      </c>
      <c r="E1905" s="57" t="s">
        <v>129</v>
      </c>
      <c r="F1905" s="58"/>
      <c r="G1905" s="58">
        <v>15</v>
      </c>
      <c r="H1905" s="58" t="s">
        <v>10</v>
      </c>
    </row>
    <row r="1906" spans="2:8" ht="15" customHeight="1" x14ac:dyDescent="0.3">
      <c r="B1906" s="86">
        <v>45817</v>
      </c>
      <c r="C1906" s="9" t="s">
        <v>30</v>
      </c>
      <c r="D1906" s="9" t="s">
        <v>8</v>
      </c>
      <c r="E1906" s="57" t="s">
        <v>31</v>
      </c>
      <c r="F1906" s="58"/>
      <c r="G1906" s="58">
        <v>1</v>
      </c>
      <c r="H1906" s="58" t="s">
        <v>10</v>
      </c>
    </row>
    <row r="1907" spans="2:8" ht="15" customHeight="1" x14ac:dyDescent="0.3">
      <c r="B1907" s="86">
        <v>45817</v>
      </c>
      <c r="C1907" s="9" t="s">
        <v>28</v>
      </c>
      <c r="D1907" s="9" t="s">
        <v>8</v>
      </c>
      <c r="E1907" s="57" t="s">
        <v>29</v>
      </c>
      <c r="F1907" s="58"/>
      <c r="G1907" s="58">
        <v>6</v>
      </c>
      <c r="H1907" s="58" t="s">
        <v>10</v>
      </c>
    </row>
    <row r="1908" spans="2:8" ht="15" customHeight="1" x14ac:dyDescent="0.3">
      <c r="B1908" s="86">
        <v>45817</v>
      </c>
      <c r="C1908" s="9" t="s">
        <v>7</v>
      </c>
      <c r="D1908" s="9" t="s">
        <v>8</v>
      </c>
      <c r="E1908" s="57" t="s">
        <v>9</v>
      </c>
      <c r="F1908" s="58"/>
      <c r="G1908" s="58">
        <v>2</v>
      </c>
      <c r="H1908" s="58" t="s">
        <v>10</v>
      </c>
    </row>
    <row r="1909" spans="2:8" ht="15" customHeight="1" x14ac:dyDescent="0.3">
      <c r="B1909" s="86">
        <v>45817</v>
      </c>
      <c r="C1909" s="9" t="s">
        <v>75</v>
      </c>
      <c r="D1909" s="9" t="s">
        <v>8</v>
      </c>
      <c r="E1909" s="57" t="s">
        <v>76</v>
      </c>
      <c r="F1909" s="58"/>
      <c r="G1909" s="58">
        <v>1</v>
      </c>
      <c r="H1909" s="58" t="s">
        <v>10</v>
      </c>
    </row>
    <row r="1910" spans="2:8" ht="15" customHeight="1" x14ac:dyDescent="0.3">
      <c r="B1910" s="86">
        <v>45817</v>
      </c>
      <c r="C1910" s="26" t="s">
        <v>101</v>
      </c>
      <c r="D1910" s="26" t="s">
        <v>8</v>
      </c>
      <c r="E1910" s="18" t="s">
        <v>102</v>
      </c>
      <c r="F1910" s="58"/>
      <c r="G1910" s="58">
        <v>2</v>
      </c>
      <c r="H1910" s="58" t="s">
        <v>10</v>
      </c>
    </row>
    <row r="1911" spans="2:8" ht="15" customHeight="1" x14ac:dyDescent="0.3">
      <c r="B1911" s="86">
        <v>45817</v>
      </c>
      <c r="C1911" s="14" t="s">
        <v>126</v>
      </c>
      <c r="D1911" s="14" t="s">
        <v>12</v>
      </c>
      <c r="E1911" s="18" t="s">
        <v>97</v>
      </c>
      <c r="F1911" s="58"/>
      <c r="G1911" s="58">
        <f>59-33</f>
        <v>26</v>
      </c>
      <c r="H1911" s="58" t="s">
        <v>10</v>
      </c>
    </row>
    <row r="1912" spans="2:8" ht="15" customHeight="1" x14ac:dyDescent="0.3">
      <c r="B1912" s="86">
        <v>45817</v>
      </c>
      <c r="C1912" s="20" t="s">
        <v>189</v>
      </c>
      <c r="D1912" s="20" t="s">
        <v>12</v>
      </c>
      <c r="E1912" s="18" t="s">
        <v>92</v>
      </c>
      <c r="F1912" s="58"/>
      <c r="G1912" s="58">
        <v>17</v>
      </c>
      <c r="H1912" s="58" t="s">
        <v>10</v>
      </c>
    </row>
    <row r="1913" spans="2:8" ht="15" customHeight="1" x14ac:dyDescent="0.3">
      <c r="B1913" s="86">
        <v>45817</v>
      </c>
      <c r="C1913" s="9" t="s">
        <v>39</v>
      </c>
      <c r="D1913" s="9" t="s">
        <v>20</v>
      </c>
      <c r="E1913" s="57" t="s">
        <v>40</v>
      </c>
      <c r="F1913" s="58"/>
      <c r="G1913" s="58">
        <v>25</v>
      </c>
      <c r="H1913" s="58" t="s">
        <v>10</v>
      </c>
    </row>
    <row r="1914" spans="2:8" ht="15" customHeight="1" x14ac:dyDescent="0.3">
      <c r="B1914" s="86">
        <v>45817</v>
      </c>
      <c r="C1914" s="9" t="s">
        <v>41</v>
      </c>
      <c r="D1914" s="9" t="s">
        <v>20</v>
      </c>
      <c r="E1914" s="57" t="s">
        <v>42</v>
      </c>
      <c r="F1914" s="58"/>
      <c r="G1914" s="58">
        <v>3.3</v>
      </c>
      <c r="H1914" s="58" t="s">
        <v>10</v>
      </c>
    </row>
    <row r="1915" spans="2:8" ht="15" customHeight="1" x14ac:dyDescent="0.3">
      <c r="B1915" s="86">
        <v>45817</v>
      </c>
      <c r="C1915" s="9" t="s">
        <v>51</v>
      </c>
      <c r="D1915" s="9" t="s">
        <v>20</v>
      </c>
      <c r="E1915" s="57" t="s">
        <v>52</v>
      </c>
      <c r="F1915" s="58"/>
      <c r="G1915" s="58">
        <f>4.3-0.6</f>
        <v>3.6999999999999997</v>
      </c>
      <c r="H1915" s="58" t="s">
        <v>10</v>
      </c>
    </row>
    <row r="1916" spans="2:8" ht="15" customHeight="1" x14ac:dyDescent="0.3">
      <c r="B1916" s="86">
        <v>45817</v>
      </c>
      <c r="C1916" s="9" t="s">
        <v>70</v>
      </c>
      <c r="D1916" s="9" t="s">
        <v>20</v>
      </c>
      <c r="E1916" s="57" t="s">
        <v>72</v>
      </c>
      <c r="F1916" s="58"/>
      <c r="G1916" s="58">
        <v>1</v>
      </c>
      <c r="H1916" s="58" t="s">
        <v>10</v>
      </c>
    </row>
    <row r="1917" spans="2:8" ht="15" customHeight="1" x14ac:dyDescent="0.3">
      <c r="B1917" s="86">
        <v>45817</v>
      </c>
      <c r="C1917" s="18" t="s">
        <v>32</v>
      </c>
      <c r="D1917" s="25" t="s">
        <v>160</v>
      </c>
      <c r="E1917" s="18" t="s">
        <v>34</v>
      </c>
      <c r="F1917" s="58"/>
      <c r="G1917" s="58">
        <v>1</v>
      </c>
      <c r="H1917" s="58" t="s">
        <v>10</v>
      </c>
    </row>
    <row r="1918" spans="2:8" ht="15" customHeight="1" x14ac:dyDescent="0.3">
      <c r="B1918" s="86">
        <v>45817</v>
      </c>
      <c r="C1918" s="18" t="s">
        <v>117</v>
      </c>
      <c r="D1918" s="25" t="s">
        <v>160</v>
      </c>
      <c r="E1918" s="18" t="s">
        <v>118</v>
      </c>
      <c r="F1918" s="58"/>
      <c r="G1918" s="58">
        <v>1</v>
      </c>
      <c r="H1918" s="58" t="s">
        <v>10</v>
      </c>
    </row>
    <row r="1919" spans="2:8" ht="15" customHeight="1" x14ac:dyDescent="0.3">
      <c r="B1919" s="86">
        <v>45817</v>
      </c>
      <c r="C1919" s="9" t="s">
        <v>61</v>
      </c>
      <c r="D1919" s="9" t="s">
        <v>20</v>
      </c>
      <c r="E1919" s="57" t="s">
        <v>62</v>
      </c>
      <c r="F1919" s="58"/>
      <c r="G1919" s="58">
        <f>13.6-7.6</f>
        <v>6</v>
      </c>
      <c r="H1919" s="58" t="s">
        <v>10</v>
      </c>
    </row>
    <row r="1920" spans="2:8" ht="15" customHeight="1" x14ac:dyDescent="0.3">
      <c r="B1920" s="86">
        <v>45817</v>
      </c>
      <c r="C1920" s="18" t="s">
        <v>63</v>
      </c>
      <c r="D1920" s="9" t="s">
        <v>20</v>
      </c>
      <c r="E1920" s="57" t="s">
        <v>64</v>
      </c>
      <c r="F1920" s="58"/>
      <c r="G1920" s="58">
        <v>5</v>
      </c>
      <c r="H1920" s="58" t="s">
        <v>10</v>
      </c>
    </row>
    <row r="1921" spans="2:8" ht="15" customHeight="1" x14ac:dyDescent="0.3">
      <c r="B1921" s="86">
        <v>45817</v>
      </c>
      <c r="C1921" s="39" t="s">
        <v>90</v>
      </c>
      <c r="D1921" s="39" t="s">
        <v>20</v>
      </c>
      <c r="E1921" s="18" t="s">
        <v>91</v>
      </c>
      <c r="F1921" s="58"/>
      <c r="G1921" s="58">
        <v>2.1</v>
      </c>
      <c r="H1921" s="58" t="s">
        <v>10</v>
      </c>
    </row>
    <row r="1922" spans="2:8" ht="15" customHeight="1" x14ac:dyDescent="0.3">
      <c r="B1922" s="86">
        <v>45817</v>
      </c>
      <c r="C1922" s="115" t="s">
        <v>183</v>
      </c>
      <c r="D1922" s="93" t="s">
        <v>12</v>
      </c>
      <c r="E1922" s="115" t="s">
        <v>184</v>
      </c>
      <c r="F1922" s="58"/>
      <c r="G1922" s="58">
        <v>2</v>
      </c>
      <c r="H1922" s="58" t="s">
        <v>10</v>
      </c>
    </row>
    <row r="1923" spans="2:8" ht="15" customHeight="1" x14ac:dyDescent="0.3">
      <c r="B1923" s="86">
        <v>45820</v>
      </c>
      <c r="C1923" s="9" t="s">
        <v>185</v>
      </c>
      <c r="D1923" s="9" t="s">
        <v>12</v>
      </c>
      <c r="E1923" s="57" t="s">
        <v>129</v>
      </c>
      <c r="F1923" s="58">
        <v>5</v>
      </c>
      <c r="G1923" s="58"/>
      <c r="H1923" s="58" t="s">
        <v>18</v>
      </c>
    </row>
    <row r="1924" spans="2:8" ht="15" customHeight="1" x14ac:dyDescent="0.3">
      <c r="B1924" s="86">
        <v>45820</v>
      </c>
      <c r="C1924" s="9" t="s">
        <v>7</v>
      </c>
      <c r="D1924" s="9" t="s">
        <v>8</v>
      </c>
      <c r="E1924" s="57" t="s">
        <v>9</v>
      </c>
      <c r="F1924" s="58"/>
      <c r="G1924" s="58">
        <v>2</v>
      </c>
      <c r="H1924" s="58" t="s">
        <v>10</v>
      </c>
    </row>
    <row r="1925" spans="2:8" ht="15" customHeight="1" x14ac:dyDescent="0.3">
      <c r="B1925" s="86">
        <v>45820</v>
      </c>
      <c r="C1925" s="9" t="s">
        <v>43</v>
      </c>
      <c r="D1925" s="9" t="s">
        <v>20</v>
      </c>
      <c r="E1925" s="57" t="s">
        <v>44</v>
      </c>
      <c r="F1925" s="58"/>
      <c r="G1925" s="58">
        <v>10</v>
      </c>
      <c r="H1925" s="58" t="s">
        <v>10</v>
      </c>
    </row>
    <row r="1926" spans="2:8" ht="15" customHeight="1" x14ac:dyDescent="0.3">
      <c r="B1926" s="86">
        <v>45820</v>
      </c>
      <c r="C1926" s="9" t="s">
        <v>77</v>
      </c>
      <c r="D1926" s="9" t="s">
        <v>20</v>
      </c>
      <c r="E1926" s="57" t="s">
        <v>78</v>
      </c>
      <c r="F1926" s="58"/>
      <c r="G1926" s="58">
        <f>3-1.15</f>
        <v>1.85</v>
      </c>
      <c r="H1926" s="58" t="s">
        <v>10</v>
      </c>
    </row>
    <row r="1927" spans="2:8" ht="15" customHeight="1" x14ac:dyDescent="0.3">
      <c r="B1927" s="86">
        <v>45820</v>
      </c>
      <c r="C1927" s="9" t="s">
        <v>73</v>
      </c>
      <c r="D1927" s="9" t="s">
        <v>71</v>
      </c>
      <c r="E1927" s="57" t="s">
        <v>74</v>
      </c>
      <c r="F1927" s="58"/>
      <c r="G1927" s="58">
        <v>1</v>
      </c>
      <c r="H1927" s="58" t="s">
        <v>10</v>
      </c>
    </row>
    <row r="1928" spans="2:8" ht="15" customHeight="1" x14ac:dyDescent="0.3">
      <c r="B1928" s="86">
        <v>45820</v>
      </c>
      <c r="C1928" s="9" t="s">
        <v>41</v>
      </c>
      <c r="D1928" s="9" t="s">
        <v>20</v>
      </c>
      <c r="E1928" s="57" t="s">
        <v>42</v>
      </c>
      <c r="F1928" s="58"/>
      <c r="G1928" s="58">
        <v>16</v>
      </c>
      <c r="H1928" s="58" t="s">
        <v>10</v>
      </c>
    </row>
    <row r="1929" spans="2:8" ht="15" customHeight="1" x14ac:dyDescent="0.3">
      <c r="B1929" s="86">
        <v>45820</v>
      </c>
      <c r="C1929" s="9" t="s">
        <v>39</v>
      </c>
      <c r="D1929" s="9" t="s">
        <v>20</v>
      </c>
      <c r="E1929" s="57" t="s">
        <v>40</v>
      </c>
      <c r="F1929" s="58">
        <v>3.8</v>
      </c>
      <c r="G1929" s="58"/>
      <c r="H1929" s="58" t="s">
        <v>18</v>
      </c>
    </row>
    <row r="1930" spans="2:8" ht="15" customHeight="1" x14ac:dyDescent="0.3">
      <c r="B1930" s="86">
        <v>45820</v>
      </c>
      <c r="C1930" s="9" t="s">
        <v>51</v>
      </c>
      <c r="D1930" s="9" t="s">
        <v>20</v>
      </c>
      <c r="E1930" s="57" t="s">
        <v>52</v>
      </c>
      <c r="F1930" s="58"/>
      <c r="G1930" s="58">
        <v>3</v>
      </c>
      <c r="H1930" s="58" t="s">
        <v>10</v>
      </c>
    </row>
    <row r="1931" spans="2:8" ht="15" customHeight="1" x14ac:dyDescent="0.3">
      <c r="B1931" s="86">
        <v>45820</v>
      </c>
      <c r="C1931" s="26" t="s">
        <v>95</v>
      </c>
      <c r="D1931" s="26" t="s">
        <v>12</v>
      </c>
      <c r="E1931" s="18" t="s">
        <v>96</v>
      </c>
      <c r="F1931" s="58"/>
      <c r="G1931" s="58">
        <v>30</v>
      </c>
      <c r="H1931" s="58" t="s">
        <v>10</v>
      </c>
    </row>
    <row r="1932" spans="2:8" ht="15" customHeight="1" x14ac:dyDescent="0.3">
      <c r="B1932" s="86">
        <v>45820</v>
      </c>
      <c r="C1932" s="9" t="s">
        <v>61</v>
      </c>
      <c r="D1932" s="9" t="s">
        <v>20</v>
      </c>
      <c r="E1932" s="57" t="s">
        <v>62</v>
      </c>
      <c r="F1932" s="58"/>
      <c r="G1932" s="58">
        <v>1.4</v>
      </c>
      <c r="H1932" s="58" t="s">
        <v>10</v>
      </c>
    </row>
    <row r="1933" spans="2:8" ht="15" customHeight="1" x14ac:dyDescent="0.3">
      <c r="B1933" s="86">
        <v>45820</v>
      </c>
      <c r="C1933" s="14" t="s">
        <v>126</v>
      </c>
      <c r="D1933" s="14" t="s">
        <v>12</v>
      </c>
      <c r="E1933" s="18" t="s">
        <v>97</v>
      </c>
      <c r="F1933" s="58"/>
      <c r="G1933" s="58">
        <v>18</v>
      </c>
      <c r="H1933" s="58" t="s">
        <v>10</v>
      </c>
    </row>
    <row r="1934" spans="2:8" ht="15" customHeight="1" x14ac:dyDescent="0.3">
      <c r="B1934" s="86">
        <v>45820</v>
      </c>
      <c r="C1934" s="14" t="s">
        <v>110</v>
      </c>
      <c r="D1934" s="14" t="s">
        <v>12</v>
      </c>
      <c r="E1934" s="18" t="s">
        <v>111</v>
      </c>
      <c r="F1934" s="58"/>
      <c r="G1934" s="58">
        <v>3</v>
      </c>
      <c r="H1934" s="58" t="s">
        <v>10</v>
      </c>
    </row>
    <row r="1935" spans="2:8" ht="15" customHeight="1" x14ac:dyDescent="0.3">
      <c r="B1935" s="86">
        <v>45820</v>
      </c>
      <c r="C1935" s="18" t="s">
        <v>178</v>
      </c>
      <c r="D1935" s="18" t="s">
        <v>12</v>
      </c>
      <c r="E1935" s="18" t="s">
        <v>177</v>
      </c>
      <c r="F1935" s="58"/>
      <c r="G1935" s="58">
        <v>2</v>
      </c>
      <c r="H1935" s="58" t="s">
        <v>10</v>
      </c>
    </row>
    <row r="1936" spans="2:8" ht="15" customHeight="1" x14ac:dyDescent="0.3">
      <c r="B1936" s="86">
        <v>45820</v>
      </c>
      <c r="C1936" s="14" t="s">
        <v>126</v>
      </c>
      <c r="D1936" s="14" t="s">
        <v>12</v>
      </c>
      <c r="E1936" s="18" t="str">
        <f>IFERROR(VLOOKUP(C1936,'Base de donnée articles'!$B$8:$C$331,2,FALSE)," ")</f>
        <v>CH071</v>
      </c>
      <c r="F1936" s="58"/>
      <c r="G1936" s="58">
        <v>12</v>
      </c>
      <c r="H1936" s="58" t="s">
        <v>120</v>
      </c>
    </row>
    <row r="1937" spans="2:8" ht="15" customHeight="1" x14ac:dyDescent="0.3">
      <c r="B1937" s="86">
        <v>45820</v>
      </c>
      <c r="C1937" s="9" t="s">
        <v>30</v>
      </c>
      <c r="D1937" s="9" t="s">
        <v>8</v>
      </c>
      <c r="E1937" s="18" t="str">
        <f>IFERROR(VLOOKUP(C1937,'Base de donnée articles'!$B$8:$C$331,2,FALSE)," ")</f>
        <v>PAT002</v>
      </c>
      <c r="F1937" s="58">
        <v>1</v>
      </c>
      <c r="G1937" s="58"/>
      <c r="H1937" s="58" t="s">
        <v>18</v>
      </c>
    </row>
    <row r="1938" spans="2:8" ht="15" customHeight="1" x14ac:dyDescent="0.3">
      <c r="B1938" s="86">
        <v>45820</v>
      </c>
      <c r="C1938" s="9" t="s">
        <v>7</v>
      </c>
      <c r="D1938" s="9" t="s">
        <v>8</v>
      </c>
      <c r="E1938" s="18" t="str">
        <f>IFERROR(VLOOKUP(C1938,'Base de donnée articles'!$B$8:$C$331,2,FALSE)," ")</f>
        <v>PAT004</v>
      </c>
      <c r="F1938" s="58">
        <v>1</v>
      </c>
      <c r="G1938" s="58"/>
      <c r="H1938" s="58" t="s">
        <v>18</v>
      </c>
    </row>
    <row r="1939" spans="2:8" ht="15" customHeight="1" x14ac:dyDescent="0.3">
      <c r="B1939" s="86">
        <v>45820</v>
      </c>
      <c r="C1939" s="9" t="s">
        <v>39</v>
      </c>
      <c r="D1939" s="9" t="s">
        <v>20</v>
      </c>
      <c r="E1939" s="18" t="str">
        <f>IFERROR(VLOOKUP(C1939,'Base de donnée articles'!$B$8:$C$331,2,FALSE)," ")</f>
        <v>GAR004</v>
      </c>
      <c r="F1939" s="58">
        <v>5</v>
      </c>
      <c r="G1939" s="58"/>
      <c r="H1939" s="58" t="s">
        <v>18</v>
      </c>
    </row>
    <row r="1940" spans="2:8" ht="15" customHeight="1" x14ac:dyDescent="0.3">
      <c r="B1940" s="86">
        <v>45821</v>
      </c>
      <c r="C1940" s="9" t="s">
        <v>28</v>
      </c>
      <c r="D1940" s="9" t="s">
        <v>8</v>
      </c>
      <c r="E1940" s="18" t="str">
        <f>IFERROR(VLOOKUP(C1940,'Base de donnée articles'!$B$8:$C$331,2,FALSE)," ")</f>
        <v>PAT003</v>
      </c>
      <c r="F1940" s="58">
        <v>2</v>
      </c>
      <c r="G1940" s="58"/>
      <c r="H1940" s="58" t="s">
        <v>18</v>
      </c>
    </row>
    <row r="1941" spans="2:8" ht="15" customHeight="1" x14ac:dyDescent="0.3">
      <c r="B1941" s="86">
        <v>45821</v>
      </c>
      <c r="C1941" s="9" t="s">
        <v>7</v>
      </c>
      <c r="D1941" s="9" t="s">
        <v>8</v>
      </c>
      <c r="E1941" s="18" t="str">
        <f>IFERROR(VLOOKUP(C1941,'Base de donnée articles'!$B$8:$C$331,2,FALSE)," ")</f>
        <v>PAT004</v>
      </c>
      <c r="F1941" s="58">
        <v>1</v>
      </c>
      <c r="G1941" s="58"/>
      <c r="H1941" s="58" t="s">
        <v>18</v>
      </c>
    </row>
    <row r="1942" spans="2:8" ht="15" customHeight="1" x14ac:dyDescent="0.3">
      <c r="B1942" s="86">
        <v>45821</v>
      </c>
      <c r="C1942" s="9" t="s">
        <v>75</v>
      </c>
      <c r="D1942" s="9" t="s">
        <v>8</v>
      </c>
      <c r="E1942" s="18" t="str">
        <f>IFERROR(VLOOKUP(C1942,'Base de donnée articles'!$B$8:$C$331,2,FALSE)," ")</f>
        <v>PAT009</v>
      </c>
      <c r="F1942" s="58">
        <v>1</v>
      </c>
      <c r="G1942" s="58"/>
      <c r="H1942" s="58" t="s">
        <v>18</v>
      </c>
    </row>
    <row r="1943" spans="2:8" ht="15" customHeight="1" x14ac:dyDescent="0.3">
      <c r="B1943" s="86">
        <v>45821</v>
      </c>
      <c r="C1943" s="9" t="s">
        <v>41</v>
      </c>
      <c r="D1943" s="9" t="s">
        <v>20</v>
      </c>
      <c r="E1943" s="18" t="str">
        <f>IFERROR(VLOOKUP(C1943,'Base de donnée articles'!$B$8:$C$331,2,FALSE)," ")</f>
        <v>GAR005</v>
      </c>
      <c r="F1943" s="58">
        <v>3</v>
      </c>
      <c r="G1943" s="58"/>
      <c r="H1943" s="58" t="s">
        <v>18</v>
      </c>
    </row>
    <row r="1944" spans="2:8" ht="15" customHeight="1" x14ac:dyDescent="0.3">
      <c r="B1944" s="86">
        <v>45821</v>
      </c>
      <c r="C1944" s="9" t="s">
        <v>39</v>
      </c>
      <c r="D1944" s="9" t="s">
        <v>20</v>
      </c>
      <c r="E1944" s="18" t="str">
        <f>IFERROR(VLOOKUP(C1944,'Base de donnée articles'!$B$8:$C$331,2,FALSE)," ")</f>
        <v>GAR004</v>
      </c>
      <c r="F1944" s="58">
        <v>7</v>
      </c>
      <c r="G1944" s="58"/>
      <c r="H1944" s="58" t="s">
        <v>18</v>
      </c>
    </row>
    <row r="1945" spans="2:8" ht="15" customHeight="1" x14ac:dyDescent="0.3">
      <c r="B1945" s="86">
        <v>45822</v>
      </c>
      <c r="C1945" s="9" t="s">
        <v>41</v>
      </c>
      <c r="D1945" s="9" t="s">
        <v>20</v>
      </c>
      <c r="E1945" s="18" t="str">
        <f>IFERROR(VLOOKUP(C1945,'Base de donnée articles'!$B$8:$C$331,2,FALSE)," ")</f>
        <v>GAR005</v>
      </c>
      <c r="F1945" s="58">
        <v>10</v>
      </c>
      <c r="G1945" s="58"/>
      <c r="H1945" s="58" t="s">
        <v>18</v>
      </c>
    </row>
    <row r="1946" spans="2:8" ht="15" customHeight="1" x14ac:dyDescent="0.3">
      <c r="B1946" s="86">
        <v>45822</v>
      </c>
      <c r="C1946" s="9" t="s">
        <v>39</v>
      </c>
      <c r="D1946" s="9" t="s">
        <v>20</v>
      </c>
      <c r="E1946" s="18" t="str">
        <f>IFERROR(VLOOKUP(C1946,'Base de donnée articles'!$B$8:$C$331,2,FALSE)," ")</f>
        <v>GAR004</v>
      </c>
      <c r="F1946" s="58">
        <v>10</v>
      </c>
      <c r="G1946" s="58"/>
      <c r="H1946" s="58" t="s">
        <v>18</v>
      </c>
    </row>
    <row r="1947" spans="2:8" ht="15" customHeight="1" x14ac:dyDescent="0.3">
      <c r="B1947" s="86">
        <v>45822</v>
      </c>
      <c r="C1947" s="116" t="s">
        <v>110</v>
      </c>
      <c r="D1947" s="116" t="s">
        <v>12</v>
      </c>
      <c r="E1947" s="110" t="s">
        <v>111</v>
      </c>
      <c r="F1947" s="58">
        <f>10*12</f>
        <v>120</v>
      </c>
      <c r="G1947" s="58"/>
      <c r="H1947" s="58" t="s">
        <v>18</v>
      </c>
    </row>
    <row r="1948" spans="2:8" ht="15" customHeight="1" x14ac:dyDescent="0.3">
      <c r="B1948" s="86">
        <v>45823</v>
      </c>
      <c r="C1948" s="9" t="s">
        <v>28</v>
      </c>
      <c r="D1948" s="9" t="s">
        <v>8</v>
      </c>
      <c r="E1948" s="18" t="str">
        <f>IFERROR(VLOOKUP(C1948,'Base de donnée articles'!$B$8:$C$331,2,FALSE)," ")</f>
        <v>PAT003</v>
      </c>
      <c r="F1948" s="58"/>
      <c r="G1948" s="58">
        <v>1</v>
      </c>
      <c r="H1948" s="58" t="s">
        <v>10</v>
      </c>
    </row>
    <row r="1949" spans="2:8" ht="15" customHeight="1" x14ac:dyDescent="0.3">
      <c r="B1949" s="86">
        <v>45823</v>
      </c>
      <c r="C1949" s="9" t="s">
        <v>7</v>
      </c>
      <c r="D1949" s="9" t="s">
        <v>8</v>
      </c>
      <c r="E1949" s="18" t="str">
        <f>IFERROR(VLOOKUP(C1949,'Base de donnée articles'!$B$8:$C$331,2,FALSE)," ")</f>
        <v>PAT004</v>
      </c>
      <c r="F1949" s="58"/>
      <c r="G1949" s="58">
        <v>1</v>
      </c>
      <c r="H1949" s="58" t="s">
        <v>10</v>
      </c>
    </row>
    <row r="1950" spans="2:8" ht="15" customHeight="1" x14ac:dyDescent="0.3">
      <c r="B1950" s="86">
        <v>45823</v>
      </c>
      <c r="C1950" s="9" t="s">
        <v>30</v>
      </c>
      <c r="D1950" s="9" t="s">
        <v>8</v>
      </c>
      <c r="E1950" s="18" t="str">
        <f>IFERROR(VLOOKUP(C1950,'Base de donnée articles'!$B$8:$C$331,2,FALSE)," ")</f>
        <v>PAT002</v>
      </c>
      <c r="F1950" s="58"/>
      <c r="G1950" s="58">
        <v>1</v>
      </c>
      <c r="H1950" s="58" t="s">
        <v>10</v>
      </c>
    </row>
    <row r="1951" spans="2:8" ht="15" customHeight="1" x14ac:dyDescent="0.3">
      <c r="B1951" s="86">
        <v>45824</v>
      </c>
      <c r="C1951" s="9" t="s">
        <v>41</v>
      </c>
      <c r="D1951" s="9" t="s">
        <v>20</v>
      </c>
      <c r="E1951" s="18" t="str">
        <f>IFERROR(VLOOKUP(C1951,'Base de donnée articles'!$B$8:$C$331,2,FALSE)," ")</f>
        <v>GAR005</v>
      </c>
      <c r="F1951" s="58">
        <v>10</v>
      </c>
      <c r="G1951" s="58"/>
      <c r="H1951" s="58" t="s">
        <v>18</v>
      </c>
    </row>
    <row r="1952" spans="2:8" ht="15" customHeight="1" x14ac:dyDescent="0.3">
      <c r="B1952" s="86">
        <v>45824</v>
      </c>
      <c r="C1952" s="9" t="s">
        <v>39</v>
      </c>
      <c r="D1952" s="9" t="s">
        <v>20</v>
      </c>
      <c r="E1952" s="18" t="str">
        <f>IFERROR(VLOOKUP(C1952,'Base de donnée articles'!$B$8:$C$331,2,FALSE)," ")</f>
        <v>GAR004</v>
      </c>
      <c r="F1952" s="58">
        <v>15</v>
      </c>
      <c r="G1952" s="58"/>
      <c r="H1952" s="58" t="s">
        <v>18</v>
      </c>
    </row>
    <row r="1953" spans="2:8" ht="15" customHeight="1" x14ac:dyDescent="0.3">
      <c r="B1953" s="86">
        <v>45824</v>
      </c>
      <c r="C1953" s="9" t="s">
        <v>7</v>
      </c>
      <c r="D1953" s="9" t="s">
        <v>8</v>
      </c>
      <c r="E1953" s="18" t="str">
        <f>IFERROR(VLOOKUP(C1953,'Base de donnée articles'!$B$8:$C$331,2,FALSE)," ")</f>
        <v>PAT004</v>
      </c>
      <c r="F1953" s="58">
        <v>1</v>
      </c>
      <c r="G1953" s="58"/>
      <c r="H1953" s="58" t="s">
        <v>18</v>
      </c>
    </row>
    <row r="1954" spans="2:8" ht="15" customHeight="1" x14ac:dyDescent="0.3">
      <c r="B1954" s="86">
        <v>45824</v>
      </c>
      <c r="C1954" s="9" t="s">
        <v>28</v>
      </c>
      <c r="D1954" s="9" t="s">
        <v>8</v>
      </c>
      <c r="E1954" s="18" t="str">
        <f>IFERROR(VLOOKUP(C1954,'Base de donnée articles'!$B$8:$C$331,2,FALSE)," ")</f>
        <v>PAT003</v>
      </c>
      <c r="F1954" s="58">
        <v>3</v>
      </c>
      <c r="G1954" s="58"/>
      <c r="H1954" s="58" t="s">
        <v>18</v>
      </c>
    </row>
    <row r="1955" spans="2:8" ht="15" customHeight="1" x14ac:dyDescent="0.3">
      <c r="B1955" s="86">
        <v>45824</v>
      </c>
      <c r="C1955" s="90" t="s">
        <v>30</v>
      </c>
      <c r="D1955" s="91" t="s">
        <v>8</v>
      </c>
      <c r="E1955" s="110" t="s">
        <v>31</v>
      </c>
      <c r="F1955" s="58">
        <v>1</v>
      </c>
      <c r="G1955" s="58"/>
      <c r="H1955" s="58" t="s">
        <v>18</v>
      </c>
    </row>
    <row r="1956" spans="2:8" ht="15" customHeight="1" x14ac:dyDescent="0.3">
      <c r="B1956" s="86">
        <v>45824</v>
      </c>
      <c r="C1956" s="9" t="s">
        <v>61</v>
      </c>
      <c r="D1956" s="9" t="s">
        <v>20</v>
      </c>
      <c r="E1956" s="18" t="str">
        <f>IFERROR(VLOOKUP(C1956,'Base de donnée articles'!$B$8:$C$331,2,FALSE)," ")</f>
        <v>CH070</v>
      </c>
      <c r="F1956" s="58">
        <v>10</v>
      </c>
      <c r="G1956" s="58"/>
      <c r="H1956" s="58" t="s">
        <v>18</v>
      </c>
    </row>
    <row r="1957" spans="2:8" ht="15" customHeight="1" x14ac:dyDescent="0.3">
      <c r="B1957" s="86">
        <v>45824</v>
      </c>
      <c r="C1957" s="116" t="s">
        <v>110</v>
      </c>
      <c r="D1957" s="116" t="s">
        <v>12</v>
      </c>
      <c r="E1957" s="110" t="s">
        <v>111</v>
      </c>
      <c r="F1957" s="58">
        <v>60</v>
      </c>
      <c r="G1957" s="58"/>
      <c r="H1957" s="58" t="s">
        <v>18</v>
      </c>
    </row>
    <row r="1958" spans="2:8" ht="15" customHeight="1" x14ac:dyDescent="0.3">
      <c r="B1958" s="86">
        <v>45824</v>
      </c>
      <c r="C1958" s="9" t="s">
        <v>70</v>
      </c>
      <c r="D1958" s="9" t="s">
        <v>71</v>
      </c>
      <c r="E1958" s="18" t="str">
        <f>IFERROR(VLOOKUP(C1958,'Base de donnée articles'!$B$8:$C$331,2,FALSE)," ")</f>
        <v>GAR014</v>
      </c>
      <c r="F1958" s="58">
        <v>1</v>
      </c>
      <c r="G1958" s="58"/>
      <c r="H1958" s="58" t="s">
        <v>18</v>
      </c>
    </row>
    <row r="1959" spans="2:8" ht="15" customHeight="1" x14ac:dyDescent="0.3">
      <c r="B1959" s="86">
        <v>45824</v>
      </c>
      <c r="C1959" s="18" t="s">
        <v>178</v>
      </c>
      <c r="D1959" s="9" t="s">
        <v>71</v>
      </c>
      <c r="E1959" s="18" t="str">
        <f>IFERROR(VLOOKUP(C1959,'Base de donnée articles'!$B$8:$C$331,2,FALSE)," ")</f>
        <v>LAN</v>
      </c>
      <c r="F1959" s="58">
        <v>4</v>
      </c>
      <c r="G1959" s="58"/>
      <c r="H1959" s="58" t="s">
        <v>18</v>
      </c>
    </row>
    <row r="1960" spans="2:8" ht="15" customHeight="1" x14ac:dyDescent="0.3">
      <c r="B1960" s="86">
        <v>45824</v>
      </c>
      <c r="C1960" s="9" t="s">
        <v>185</v>
      </c>
      <c r="D1960" s="9" t="s">
        <v>12</v>
      </c>
      <c r="E1960" s="18" t="str">
        <f>IFERROR(VLOOKUP(C1960,'Base de donnée articles'!$B$8:$C$331,2,FALSE)," ")</f>
        <v>PAT007</v>
      </c>
      <c r="F1960" s="58"/>
      <c r="G1960" s="58">
        <v>16</v>
      </c>
      <c r="H1960" s="58" t="s">
        <v>10</v>
      </c>
    </row>
    <row r="1961" spans="2:8" ht="15" customHeight="1" x14ac:dyDescent="0.3">
      <c r="B1961" s="86">
        <v>45824</v>
      </c>
      <c r="C1961" s="9" t="s">
        <v>28</v>
      </c>
      <c r="D1961" s="9" t="s">
        <v>8</v>
      </c>
      <c r="E1961" s="18" t="str">
        <f>IFERROR(VLOOKUP(C1961,'Base de donnée articles'!$B$8:$C$331,2,FALSE)," ")</f>
        <v>PAT003</v>
      </c>
      <c r="F1961" s="58"/>
      <c r="G1961" s="58">
        <v>1</v>
      </c>
      <c r="H1961" s="58" t="s">
        <v>10</v>
      </c>
    </row>
    <row r="1962" spans="2:8" ht="15" customHeight="1" x14ac:dyDescent="0.3">
      <c r="B1962" s="86">
        <v>45824</v>
      </c>
      <c r="C1962" s="90" t="s">
        <v>30</v>
      </c>
      <c r="D1962" s="91" t="s">
        <v>8</v>
      </c>
      <c r="E1962" s="110" t="s">
        <v>31</v>
      </c>
      <c r="F1962" s="58"/>
      <c r="G1962" s="58">
        <v>1</v>
      </c>
      <c r="H1962" s="58" t="s">
        <v>10</v>
      </c>
    </row>
    <row r="1963" spans="2:8" ht="15" customHeight="1" x14ac:dyDescent="0.3">
      <c r="B1963" s="86">
        <v>45824</v>
      </c>
      <c r="C1963" s="9" t="s">
        <v>41</v>
      </c>
      <c r="D1963" s="9" t="s">
        <v>20</v>
      </c>
      <c r="E1963" s="18" t="str">
        <f>IFERROR(VLOOKUP(C1963,'Base de donnée articles'!$B$8:$C$331,2,FALSE)," ")</f>
        <v>GAR005</v>
      </c>
      <c r="F1963" s="58"/>
      <c r="G1963" s="58">
        <v>1</v>
      </c>
      <c r="H1963" s="58" t="s">
        <v>10</v>
      </c>
    </row>
    <row r="1964" spans="2:8" ht="15" customHeight="1" x14ac:dyDescent="0.3">
      <c r="B1964" s="86">
        <v>45824</v>
      </c>
      <c r="C1964" s="9" t="s">
        <v>39</v>
      </c>
      <c r="D1964" s="9" t="s">
        <v>20</v>
      </c>
      <c r="E1964" s="18" t="str">
        <f>IFERROR(VLOOKUP(C1964,'Base de donnée articles'!$B$8:$C$331,2,FALSE)," ")</f>
        <v>GAR004</v>
      </c>
      <c r="F1964" s="58"/>
      <c r="G1964" s="58">
        <v>25</v>
      </c>
      <c r="H1964" s="58" t="s">
        <v>10</v>
      </c>
    </row>
    <row r="1965" spans="2:8" ht="15" customHeight="1" x14ac:dyDescent="0.3">
      <c r="B1965" s="86">
        <v>45824</v>
      </c>
      <c r="C1965" s="9" t="s">
        <v>51</v>
      </c>
      <c r="D1965" s="9" t="s">
        <v>20</v>
      </c>
      <c r="E1965" s="57" t="s">
        <v>52</v>
      </c>
      <c r="F1965" s="58"/>
      <c r="G1965" s="58">
        <v>0.3</v>
      </c>
      <c r="H1965" s="58" t="s">
        <v>10</v>
      </c>
    </row>
    <row r="1966" spans="2:8" ht="15" customHeight="1" x14ac:dyDescent="0.3">
      <c r="B1966" s="86">
        <v>45824</v>
      </c>
      <c r="C1966" s="9" t="s">
        <v>80</v>
      </c>
      <c r="D1966" s="9" t="s">
        <v>71</v>
      </c>
      <c r="E1966" s="18" t="str">
        <f>IFERROR(VLOOKUP(C1966,'Base de donnée articles'!$B$8:$C$331,2,FALSE)," ")</f>
        <v>GAR011</v>
      </c>
      <c r="F1966" s="58"/>
      <c r="G1966" s="58">
        <v>1</v>
      </c>
      <c r="H1966" s="58" t="s">
        <v>10</v>
      </c>
    </row>
    <row r="1967" spans="2:8" ht="15" customHeight="1" x14ac:dyDescent="0.3">
      <c r="B1967" s="86">
        <v>45824</v>
      </c>
      <c r="C1967" s="9" t="s">
        <v>70</v>
      </c>
      <c r="D1967" s="9" t="s">
        <v>71</v>
      </c>
      <c r="E1967" s="18" t="str">
        <f>IFERROR(VLOOKUP(C1967,'Base de donnée articles'!$B$8:$C$331,2,FALSE)," ")</f>
        <v>GAR014</v>
      </c>
      <c r="F1967" s="58"/>
      <c r="G1967" s="58">
        <v>1</v>
      </c>
      <c r="H1967" s="58" t="s">
        <v>10</v>
      </c>
    </row>
    <row r="1968" spans="2:8" ht="15" customHeight="1" x14ac:dyDescent="0.3">
      <c r="B1968" s="86">
        <v>45824</v>
      </c>
      <c r="C1968" s="9" t="s">
        <v>61</v>
      </c>
      <c r="D1968" s="9" t="s">
        <v>20</v>
      </c>
      <c r="E1968" s="18" t="str">
        <f>IFERROR(VLOOKUP(C1968,'Base de donnée articles'!$B$8:$C$331,2,FALSE)," ")</f>
        <v>CH070</v>
      </c>
      <c r="F1968" s="58"/>
      <c r="G1968" s="58">
        <v>6.2</v>
      </c>
      <c r="H1968" s="58" t="s">
        <v>10</v>
      </c>
    </row>
    <row r="1969" spans="2:8" ht="15" customHeight="1" x14ac:dyDescent="0.3">
      <c r="B1969" s="86">
        <v>45824</v>
      </c>
      <c r="C1969" s="14" t="s">
        <v>126</v>
      </c>
      <c r="D1969" s="14" t="s">
        <v>12</v>
      </c>
      <c r="E1969" s="18" t="str">
        <f>IFERROR(VLOOKUP(C1969,'Base de donnée articles'!$B$8:$C$331,2,FALSE)," ")</f>
        <v>CH071</v>
      </c>
      <c r="F1969" s="58"/>
      <c r="G1969" s="58">
        <v>3</v>
      </c>
      <c r="H1969" s="58" t="s">
        <v>10</v>
      </c>
    </row>
    <row r="1970" spans="2:8" ht="15" customHeight="1" x14ac:dyDescent="0.3">
      <c r="B1970" s="86">
        <v>45824</v>
      </c>
      <c r="C1970" s="9" t="s">
        <v>79</v>
      </c>
      <c r="D1970" s="9" t="s">
        <v>20</v>
      </c>
      <c r="E1970" s="18" t="str">
        <f>IFERROR(VLOOKUP(C1970,'Base de donnée articles'!$B$8:$C$331,2,FALSE)," ")</f>
        <v>FRT100</v>
      </c>
      <c r="F1970" s="58"/>
      <c r="G1970" s="58">
        <v>1</v>
      </c>
      <c r="H1970" s="58" t="s">
        <v>10</v>
      </c>
    </row>
    <row r="1971" spans="2:8" ht="15" customHeight="1" x14ac:dyDescent="0.3">
      <c r="B1971" s="86">
        <v>45824</v>
      </c>
      <c r="C1971" s="116" t="s">
        <v>110</v>
      </c>
      <c r="D1971" s="116" t="s">
        <v>12</v>
      </c>
      <c r="E1971" s="110" t="s">
        <v>111</v>
      </c>
      <c r="F1971" s="58"/>
      <c r="G1971" s="58">
        <v>33</v>
      </c>
      <c r="H1971" s="58" t="s">
        <v>10</v>
      </c>
    </row>
    <row r="1972" spans="2:8" ht="15" customHeight="1" x14ac:dyDescent="0.3">
      <c r="B1972" s="86">
        <v>45824</v>
      </c>
      <c r="C1972" s="18" t="s">
        <v>115</v>
      </c>
      <c r="D1972" s="9" t="s">
        <v>12</v>
      </c>
      <c r="E1972" s="18" t="str">
        <f>IFERROR(VLOOKUP(C1972,'Base de donnée articles'!$B$8:$C$331,2,FALSE)," ")</f>
        <v>KON</v>
      </c>
      <c r="F1972" s="58"/>
      <c r="G1972" s="58">
        <v>1</v>
      </c>
      <c r="H1972" s="58" t="s">
        <v>10</v>
      </c>
    </row>
    <row r="1973" spans="2:8" ht="15" customHeight="1" x14ac:dyDescent="0.3">
      <c r="B1973" s="86">
        <v>45824</v>
      </c>
      <c r="C1973" s="18" t="s">
        <v>178</v>
      </c>
      <c r="D1973" s="9" t="s">
        <v>71</v>
      </c>
      <c r="E1973" s="18" t="str">
        <f>IFERROR(VLOOKUP(C1973,'Base de donnée articles'!$B$8:$C$331,2,FALSE)," ")</f>
        <v>LAN</v>
      </c>
      <c r="F1973" s="58"/>
      <c r="G1973" s="58">
        <v>2</v>
      </c>
      <c r="H1973" s="58" t="s">
        <v>10</v>
      </c>
    </row>
    <row r="1974" spans="2:8" ht="15" customHeight="1" x14ac:dyDescent="0.3">
      <c r="B1974" s="86">
        <v>45827</v>
      </c>
      <c r="C1974" s="9" t="s">
        <v>185</v>
      </c>
      <c r="D1974" s="9" t="s">
        <v>12</v>
      </c>
      <c r="E1974" s="18" t="str">
        <f>IFERROR(VLOOKUP(C1974,'Base de donnée articles'!$B$8:$C$331,2,FALSE)," ")</f>
        <v>PAT007</v>
      </c>
      <c r="F1974" s="58"/>
      <c r="G1974" s="58">
        <v>2</v>
      </c>
      <c r="H1974" s="58" t="s">
        <v>10</v>
      </c>
    </row>
    <row r="1975" spans="2:8" ht="15" customHeight="1" x14ac:dyDescent="0.3">
      <c r="B1975" s="86">
        <v>45827</v>
      </c>
      <c r="C1975" s="9" t="s">
        <v>28</v>
      </c>
      <c r="D1975" s="9" t="s">
        <v>8</v>
      </c>
      <c r="E1975" s="18" t="str">
        <f>IFERROR(VLOOKUP(C1975,'Base de donnée articles'!$B$8:$C$331,2,FALSE)," ")</f>
        <v>PAT003</v>
      </c>
      <c r="F1975" s="58"/>
      <c r="G1975" s="58">
        <v>1</v>
      </c>
      <c r="H1975" s="58" t="s">
        <v>10</v>
      </c>
    </row>
    <row r="1976" spans="2:8" ht="15" customHeight="1" x14ac:dyDescent="0.3">
      <c r="B1976" s="86">
        <v>45827</v>
      </c>
      <c r="C1976" s="9" t="s">
        <v>7</v>
      </c>
      <c r="D1976" s="9" t="s">
        <v>8</v>
      </c>
      <c r="E1976" s="18" t="str">
        <f>IFERROR(VLOOKUP(C1976,'Base de donnée articles'!$B$8:$C$331,2,FALSE)," ")</f>
        <v>PAT004</v>
      </c>
      <c r="F1976" s="58"/>
      <c r="G1976" s="58">
        <v>1</v>
      </c>
      <c r="H1976" s="58" t="s">
        <v>10</v>
      </c>
    </row>
    <row r="1977" spans="2:8" ht="15" customHeight="1" x14ac:dyDescent="0.3">
      <c r="B1977" s="86">
        <v>45827</v>
      </c>
      <c r="C1977" s="9" t="s">
        <v>43</v>
      </c>
      <c r="D1977" s="9" t="s">
        <v>20</v>
      </c>
      <c r="E1977" s="18" t="str">
        <f>IFERROR(VLOOKUP(C1977,'Base de donnée articles'!$B$8:$C$331,2,FALSE)," ")</f>
        <v>SAU011</v>
      </c>
      <c r="F1977" s="58"/>
      <c r="G1977" s="58">
        <f>4.85-1.7</f>
        <v>3.1499999999999995</v>
      </c>
      <c r="H1977" s="58" t="s">
        <v>10</v>
      </c>
    </row>
    <row r="1978" spans="2:8" ht="15" customHeight="1" x14ac:dyDescent="0.3">
      <c r="B1978" s="86">
        <v>45827</v>
      </c>
      <c r="C1978" s="9" t="s">
        <v>73</v>
      </c>
      <c r="D1978" s="9" t="s">
        <v>71</v>
      </c>
      <c r="E1978" s="18" t="str">
        <f>IFERROR(VLOOKUP(C1978,'Base de donnée articles'!$B$8:$C$331,2,FALSE)," ")</f>
        <v>GAR007</v>
      </c>
      <c r="F1978" s="58"/>
      <c r="G1978" s="58">
        <v>2</v>
      </c>
      <c r="H1978" s="58" t="s">
        <v>10</v>
      </c>
    </row>
    <row r="1979" spans="2:8" ht="15" customHeight="1" x14ac:dyDescent="0.3">
      <c r="B1979" s="86">
        <v>45827</v>
      </c>
      <c r="C1979" s="9" t="s">
        <v>80</v>
      </c>
      <c r="D1979" s="9" t="s">
        <v>71</v>
      </c>
      <c r="E1979" s="18" t="str">
        <f>IFERROR(VLOOKUP(C1979,'Base de donnée articles'!$B$8:$C$331,2,FALSE)," ")</f>
        <v>GAR011</v>
      </c>
      <c r="F1979" s="58"/>
      <c r="G1979" s="58">
        <v>1</v>
      </c>
      <c r="H1979" s="58" t="s">
        <v>10</v>
      </c>
    </row>
    <row r="1980" spans="2:8" ht="15" customHeight="1" x14ac:dyDescent="0.3">
      <c r="B1980" s="86">
        <v>45827</v>
      </c>
      <c r="C1980" s="9" t="s">
        <v>39</v>
      </c>
      <c r="D1980" s="9" t="s">
        <v>20</v>
      </c>
      <c r="E1980" s="18" t="str">
        <f>IFERROR(VLOOKUP(C1980,'Base de donnée articles'!$B$8:$C$331,2,FALSE)," ")</f>
        <v>GAR004</v>
      </c>
      <c r="F1980" s="58"/>
      <c r="G1980" s="58">
        <v>10</v>
      </c>
      <c r="H1980" s="58" t="s">
        <v>10</v>
      </c>
    </row>
    <row r="1981" spans="2:8" ht="15" customHeight="1" x14ac:dyDescent="0.3">
      <c r="B1981" s="86">
        <v>45827</v>
      </c>
      <c r="C1981" s="9" t="s">
        <v>41</v>
      </c>
      <c r="D1981" s="9" t="s">
        <v>20</v>
      </c>
      <c r="E1981" s="18" t="str">
        <f>IFERROR(VLOOKUP(C1981,'Base de donnée articles'!$B$8:$C$331,2,FALSE)," ")</f>
        <v>GAR005</v>
      </c>
      <c r="F1981" s="58"/>
      <c r="G1981" s="58">
        <f>26-7.5</f>
        <v>18.5</v>
      </c>
      <c r="H1981" s="58" t="s">
        <v>10</v>
      </c>
    </row>
    <row r="1982" spans="2:8" ht="15" customHeight="1" x14ac:dyDescent="0.3">
      <c r="B1982" s="86">
        <v>45827</v>
      </c>
      <c r="C1982" s="9" t="s">
        <v>51</v>
      </c>
      <c r="D1982" s="9" t="s">
        <v>20</v>
      </c>
      <c r="E1982" s="18" t="str">
        <f>IFERROR(VLOOKUP(C1982,'Base de donnée articles'!$B$8:$C$331,2,FALSE)," ")</f>
        <v>SAU010</v>
      </c>
      <c r="F1982" s="58"/>
      <c r="G1982" s="58">
        <v>1.5</v>
      </c>
      <c r="H1982" s="58" t="s">
        <v>10</v>
      </c>
    </row>
    <row r="1983" spans="2:8" ht="15" customHeight="1" x14ac:dyDescent="0.3">
      <c r="B1983" s="86">
        <v>45827</v>
      </c>
      <c r="C1983" s="9" t="s">
        <v>95</v>
      </c>
      <c r="D1983" s="9" t="s">
        <v>12</v>
      </c>
      <c r="E1983" s="18" t="str">
        <f>IFERROR(VLOOKUP(C1983,'Base de donnée articles'!$B$8:$C$331,2,FALSE)," ")</f>
        <v>FRT006</v>
      </c>
      <c r="F1983" s="58"/>
      <c r="G1983" s="58">
        <v>30</v>
      </c>
      <c r="H1983" s="58" t="s">
        <v>10</v>
      </c>
    </row>
    <row r="1984" spans="2:8" ht="15" customHeight="1" x14ac:dyDescent="0.3">
      <c r="B1984" s="86">
        <v>45827</v>
      </c>
      <c r="C1984" s="9" t="s">
        <v>68</v>
      </c>
      <c r="D1984" s="9" t="s">
        <v>12</v>
      </c>
      <c r="E1984" s="18" t="str">
        <f>IFERROR(VLOOKUP(C1984,'Base de donnée articles'!$B$8:$C$331,2,FALSE)," ")</f>
        <v>CH025</v>
      </c>
      <c r="F1984" s="58"/>
      <c r="G1984" s="58">
        <v>8</v>
      </c>
      <c r="H1984" s="58" t="s">
        <v>10</v>
      </c>
    </row>
    <row r="1985" spans="2:8" ht="15" customHeight="1" x14ac:dyDescent="0.3">
      <c r="B1985" s="86">
        <v>45827</v>
      </c>
      <c r="C1985" s="26" t="s">
        <v>101</v>
      </c>
      <c r="D1985" s="9" t="s">
        <v>8</v>
      </c>
      <c r="E1985" s="18" t="str">
        <f>IFERROR(VLOOKUP(C1985,'Base de donnée articles'!$B$8:$C$331,2,FALSE)," ")</f>
        <v>PA011</v>
      </c>
      <c r="F1985" s="58"/>
      <c r="G1985" s="58">
        <v>1</v>
      </c>
      <c r="H1985" s="58" t="s">
        <v>10</v>
      </c>
    </row>
    <row r="1986" spans="2:8" ht="15" customHeight="1" x14ac:dyDescent="0.3">
      <c r="B1986" s="86">
        <v>45827</v>
      </c>
      <c r="C1986" s="9" t="s">
        <v>79</v>
      </c>
      <c r="D1986" s="9" t="s">
        <v>20</v>
      </c>
      <c r="E1986" s="18" t="str">
        <f>IFERROR(VLOOKUP(C1986,'Base de donnée articles'!$B$8:$C$331,2,FALSE)," ")</f>
        <v>FRT100</v>
      </c>
      <c r="F1986" s="58"/>
      <c r="G1986" s="58">
        <v>1</v>
      </c>
      <c r="H1986" s="58" t="s">
        <v>10</v>
      </c>
    </row>
    <row r="1987" spans="2:8" ht="15" customHeight="1" x14ac:dyDescent="0.3">
      <c r="B1987" s="86">
        <v>45827</v>
      </c>
      <c r="C1987" s="14" t="s">
        <v>110</v>
      </c>
      <c r="D1987" s="9" t="s">
        <v>12</v>
      </c>
      <c r="E1987" s="18" t="str">
        <f>IFERROR(VLOOKUP(C1987,'Base de donnée articles'!$B$8:$C$331,2,FALSE)," ")</f>
        <v>CH073</v>
      </c>
      <c r="F1987" s="58"/>
      <c r="G1987" s="58">
        <v>51</v>
      </c>
      <c r="H1987" s="58" t="s">
        <v>10</v>
      </c>
    </row>
    <row r="1988" spans="2:8" ht="15" customHeight="1" x14ac:dyDescent="0.3">
      <c r="B1988" s="86">
        <v>45827</v>
      </c>
      <c r="C1988" s="18" t="s">
        <v>178</v>
      </c>
      <c r="D1988" s="9" t="s">
        <v>12</v>
      </c>
      <c r="E1988" s="18" t="str">
        <f>IFERROR(VLOOKUP(C1988,'Base de donnée articles'!$B$8:$C$331,2,FALSE)," ")</f>
        <v>LAN</v>
      </c>
      <c r="F1988" s="58"/>
      <c r="G1988" s="58">
        <v>1</v>
      </c>
      <c r="H1988" s="58" t="s">
        <v>10</v>
      </c>
    </row>
    <row r="1989" spans="2:8" ht="15" customHeight="1" x14ac:dyDescent="0.3">
      <c r="B1989" s="86">
        <v>45828</v>
      </c>
      <c r="C1989" s="9" t="s">
        <v>28</v>
      </c>
      <c r="D1989" s="9" t="s">
        <v>8</v>
      </c>
      <c r="E1989" s="18" t="str">
        <f>IFERROR(VLOOKUP(C1989,'Base de donnée articles'!$B$8:$C$331,2,FALSE)," ")</f>
        <v>PAT003</v>
      </c>
      <c r="F1989" s="58">
        <v>2</v>
      </c>
      <c r="G1989" s="58"/>
      <c r="H1989" s="58" t="s">
        <v>18</v>
      </c>
    </row>
    <row r="1990" spans="2:8" ht="15" customHeight="1" x14ac:dyDescent="0.3">
      <c r="B1990" s="86">
        <v>45828</v>
      </c>
      <c r="C1990" s="9" t="s">
        <v>7</v>
      </c>
      <c r="D1990" s="9" t="s">
        <v>8</v>
      </c>
      <c r="E1990" s="18" t="str">
        <f>IFERROR(VLOOKUP(C1990,'Base de donnée articles'!$B$8:$C$331,2,FALSE)," ")</f>
        <v>PAT004</v>
      </c>
      <c r="F1990" s="58">
        <v>3</v>
      </c>
      <c r="G1990" s="58"/>
      <c r="H1990" s="58" t="s">
        <v>18</v>
      </c>
    </row>
    <row r="1991" spans="2:8" ht="15" customHeight="1" x14ac:dyDescent="0.3">
      <c r="B1991" s="86">
        <v>45828</v>
      </c>
      <c r="C1991" s="9" t="s">
        <v>30</v>
      </c>
      <c r="D1991" s="9" t="s">
        <v>8</v>
      </c>
      <c r="E1991" s="18" t="str">
        <f>IFERROR(VLOOKUP(C1991,'Base de donnée articles'!$B$8:$C$331,2,FALSE)," ")</f>
        <v>PAT002</v>
      </c>
      <c r="F1991" s="58">
        <v>1</v>
      </c>
      <c r="G1991" s="58"/>
      <c r="H1991" s="58" t="s">
        <v>18</v>
      </c>
    </row>
    <row r="1992" spans="2:8" ht="15" customHeight="1" x14ac:dyDescent="0.3">
      <c r="B1992" s="86">
        <v>45828</v>
      </c>
      <c r="C1992" s="9" t="s">
        <v>75</v>
      </c>
      <c r="D1992" s="9" t="s">
        <v>8</v>
      </c>
      <c r="E1992" s="18" t="str">
        <f>IFERROR(VLOOKUP(C1992,'Base de donnée articles'!$B$8:$C$331,2,FALSE)," ")</f>
        <v>PAT009</v>
      </c>
      <c r="F1992" s="58">
        <v>1</v>
      </c>
      <c r="G1992" s="58"/>
      <c r="H1992" s="58" t="s">
        <v>18</v>
      </c>
    </row>
    <row r="1993" spans="2:8" ht="15" customHeight="1" x14ac:dyDescent="0.3">
      <c r="B1993" s="86">
        <v>45828</v>
      </c>
      <c r="C1993" s="9" t="s">
        <v>51</v>
      </c>
      <c r="D1993" s="9" t="s">
        <v>20</v>
      </c>
      <c r="E1993" s="18" t="str">
        <f>IFERROR(VLOOKUP(C1993,'Base de donnée articles'!$B$8:$C$331,2,FALSE)," ")</f>
        <v>SAU010</v>
      </c>
      <c r="F1993" s="58">
        <v>5</v>
      </c>
      <c r="G1993" s="58"/>
      <c r="H1993" s="58" t="s">
        <v>18</v>
      </c>
    </row>
    <row r="1994" spans="2:8" ht="15" customHeight="1" x14ac:dyDescent="0.3">
      <c r="B1994" s="86">
        <v>45830</v>
      </c>
      <c r="C1994" s="9" t="s">
        <v>39</v>
      </c>
      <c r="D1994" s="9" t="s">
        <v>20</v>
      </c>
      <c r="E1994" s="18" t="str">
        <f>IFERROR(VLOOKUP(C1994,'Base de donnée articles'!$B$8:$C$331,2,FALSE)," ")</f>
        <v>GAR004</v>
      </c>
      <c r="F1994" s="58">
        <v>5</v>
      </c>
      <c r="G1994" s="58"/>
      <c r="H1994" s="58" t="s">
        <v>18</v>
      </c>
    </row>
    <row r="1995" spans="2:8" ht="15" customHeight="1" x14ac:dyDescent="0.3">
      <c r="B1995" s="86">
        <v>45830</v>
      </c>
      <c r="C1995" s="9" t="s">
        <v>41</v>
      </c>
      <c r="D1995" s="9" t="s">
        <v>20</v>
      </c>
      <c r="E1995" s="18" t="str">
        <f>IFERROR(VLOOKUP(C1995,'Base de donnée articles'!$B$8:$C$331,2,FALSE)," ")</f>
        <v>GAR005</v>
      </c>
      <c r="F1995" s="58">
        <v>5</v>
      </c>
      <c r="G1995" s="58"/>
      <c r="H1995" s="58" t="s">
        <v>18</v>
      </c>
    </row>
    <row r="1996" spans="2:8" ht="15" customHeight="1" x14ac:dyDescent="0.3">
      <c r="B1996" s="86">
        <v>45830</v>
      </c>
      <c r="C1996" s="9" t="s">
        <v>28</v>
      </c>
      <c r="D1996" s="9" t="s">
        <v>8</v>
      </c>
      <c r="E1996" s="18" t="str">
        <f>IFERROR(VLOOKUP(C1996,'Base de donnée articles'!$B$8:$C$331,2,FALSE)," ")</f>
        <v>PAT003</v>
      </c>
      <c r="F1996" s="58"/>
      <c r="G1996" s="58">
        <v>2</v>
      </c>
      <c r="H1996" s="58" t="s">
        <v>10</v>
      </c>
    </row>
    <row r="1997" spans="2:8" ht="15" customHeight="1" x14ac:dyDescent="0.3">
      <c r="B1997" s="86">
        <v>45830</v>
      </c>
      <c r="C1997" s="9" t="s">
        <v>7</v>
      </c>
      <c r="D1997" s="9" t="s">
        <v>8</v>
      </c>
      <c r="E1997" s="18" t="str">
        <f>IFERROR(VLOOKUP(C1997,'Base de donnée articles'!$B$8:$C$331,2,FALSE)," ")</f>
        <v>PAT004</v>
      </c>
      <c r="F1997" s="58"/>
      <c r="G1997" s="58">
        <v>2</v>
      </c>
      <c r="H1997" s="58" t="s">
        <v>10</v>
      </c>
    </row>
    <row r="1998" spans="2:8" ht="15" customHeight="1" x14ac:dyDescent="0.3">
      <c r="B1998" s="86">
        <v>45830</v>
      </c>
      <c r="C1998" s="9" t="s">
        <v>30</v>
      </c>
      <c r="D1998" s="9" t="s">
        <v>8</v>
      </c>
      <c r="E1998" s="18" t="str">
        <f>IFERROR(VLOOKUP(C1998,'Base de donnée articles'!$B$8:$C$331,2,FALSE)," ")</f>
        <v>PAT002</v>
      </c>
      <c r="F1998" s="58"/>
      <c r="G1998" s="58">
        <v>1</v>
      </c>
      <c r="H1998" s="58" t="s">
        <v>10</v>
      </c>
    </row>
    <row r="1999" spans="2:8" ht="15" customHeight="1" x14ac:dyDescent="0.3">
      <c r="B1999" s="86">
        <v>45830</v>
      </c>
      <c r="C1999" s="9" t="s">
        <v>75</v>
      </c>
      <c r="D1999" s="9" t="s">
        <v>8</v>
      </c>
      <c r="E1999" s="18" t="str">
        <f>IFERROR(VLOOKUP(C1999,'Base de donnée articles'!$B$8:$C$331,2,FALSE)," ")</f>
        <v>PAT009</v>
      </c>
      <c r="F1999" s="58"/>
      <c r="G1999" s="58">
        <v>1</v>
      </c>
      <c r="H1999" s="58" t="s">
        <v>10</v>
      </c>
    </row>
    <row r="2000" spans="2:8" ht="15" customHeight="1" x14ac:dyDescent="0.3">
      <c r="B2000" s="86">
        <v>45831</v>
      </c>
      <c r="C2000" s="14" t="s">
        <v>110</v>
      </c>
      <c r="D2000" s="9" t="s">
        <v>12</v>
      </c>
      <c r="E2000" s="18" t="str">
        <f>IFERROR(VLOOKUP(C2000,'Base de donnée articles'!$B$8:$C$331,2,FALSE)," ")</f>
        <v>CH073</v>
      </c>
      <c r="F2000" s="58">
        <f>20*12</f>
        <v>240</v>
      </c>
      <c r="G2000" s="58"/>
      <c r="H2000" s="58" t="s">
        <v>18</v>
      </c>
    </row>
    <row r="2001" spans="2:8" ht="15" customHeight="1" x14ac:dyDescent="0.3">
      <c r="B2001" s="86">
        <v>45831</v>
      </c>
      <c r="C2001" s="14" t="s">
        <v>110</v>
      </c>
      <c r="D2001" s="9" t="s">
        <v>12</v>
      </c>
      <c r="E2001" s="18" t="str">
        <f>IFERROR(VLOOKUP(C2001,'Base de donnée articles'!$B$8:$C$331,2,FALSE)," ")</f>
        <v>CH073</v>
      </c>
      <c r="F2001" s="58"/>
      <c r="G2001" s="58">
        <v>36</v>
      </c>
      <c r="H2001" s="58" t="s">
        <v>120</v>
      </c>
    </row>
    <row r="2002" spans="2:8" ht="15" customHeight="1" x14ac:dyDescent="0.3">
      <c r="B2002" s="86">
        <v>45831</v>
      </c>
      <c r="C2002" s="9" t="s">
        <v>80</v>
      </c>
      <c r="D2002" s="9" t="s">
        <v>71</v>
      </c>
      <c r="E2002" s="18" t="str">
        <f>IFERROR(VLOOKUP(C2002,'Base de donnée articles'!$B$8:$C$331,2,FALSE)," ")</f>
        <v>GAR011</v>
      </c>
      <c r="F2002" s="58">
        <v>4</v>
      </c>
      <c r="G2002" s="58"/>
      <c r="H2002" s="58" t="s">
        <v>18</v>
      </c>
    </row>
    <row r="2003" spans="2:8" ht="15" customHeight="1" x14ac:dyDescent="0.3">
      <c r="B2003" s="86">
        <v>45831</v>
      </c>
      <c r="C2003" s="9" t="s">
        <v>68</v>
      </c>
      <c r="D2003" s="9" t="s">
        <v>71</v>
      </c>
      <c r="E2003" s="18" t="str">
        <f>IFERROR(VLOOKUP(C2003,'Base de donnée articles'!$B$8:$C$331,2,FALSE)," ")</f>
        <v>CH025</v>
      </c>
      <c r="F2003" s="58">
        <v>10</v>
      </c>
      <c r="G2003" s="58"/>
      <c r="H2003" s="58" t="s">
        <v>18</v>
      </c>
    </row>
    <row r="2004" spans="2:8" ht="15" customHeight="1" x14ac:dyDescent="0.3">
      <c r="B2004" s="86">
        <v>45831</v>
      </c>
      <c r="C2004" s="9" t="s">
        <v>70</v>
      </c>
      <c r="D2004" s="9" t="s">
        <v>71</v>
      </c>
      <c r="E2004" s="18" t="str">
        <f>IFERROR(VLOOKUP(C2004,'Base de donnée articles'!$B$8:$C$331,2,FALSE)," ")</f>
        <v>GAR014</v>
      </c>
      <c r="F2004" s="58">
        <v>3</v>
      </c>
      <c r="G2004" s="58"/>
      <c r="H2004" s="58" t="s">
        <v>18</v>
      </c>
    </row>
    <row r="2005" spans="2:8" ht="15" customHeight="1" x14ac:dyDescent="0.3">
      <c r="B2005" s="86">
        <v>45831</v>
      </c>
      <c r="C2005" s="9" t="s">
        <v>73</v>
      </c>
      <c r="D2005" s="9" t="s">
        <v>71</v>
      </c>
      <c r="E2005" s="18" t="str">
        <f>IFERROR(VLOOKUP(C2005,'Base de donnée articles'!$B$8:$C$331,2,FALSE)," ")</f>
        <v>GAR007</v>
      </c>
      <c r="F2005" s="58">
        <v>1</v>
      </c>
      <c r="G2005" s="58"/>
      <c r="H2005" s="58" t="s">
        <v>18</v>
      </c>
    </row>
    <row r="2006" spans="2:8" ht="15" customHeight="1" x14ac:dyDescent="0.3">
      <c r="B2006" s="86">
        <v>45831</v>
      </c>
      <c r="C2006" s="9" t="s">
        <v>185</v>
      </c>
      <c r="D2006" s="9" t="s">
        <v>12</v>
      </c>
      <c r="E2006" s="18" t="str">
        <f>IFERROR(VLOOKUP(C2006,'Base de donnée articles'!$B$8:$C$331,2,FALSE)," ")</f>
        <v>PAT007</v>
      </c>
      <c r="F2006" s="58"/>
      <c r="G2006" s="58">
        <v>2</v>
      </c>
      <c r="H2006" s="58" t="s">
        <v>10</v>
      </c>
    </row>
    <row r="2007" spans="2:8" ht="15" customHeight="1" x14ac:dyDescent="0.3">
      <c r="B2007" s="86">
        <v>45831</v>
      </c>
      <c r="C2007" s="9" t="s">
        <v>41</v>
      </c>
      <c r="D2007" s="9" t="s">
        <v>20</v>
      </c>
      <c r="E2007" s="18" t="str">
        <f>IFERROR(VLOOKUP(C2007,'Base de donnée articles'!$B$8:$C$331,2,FALSE)," ")</f>
        <v>GAR005</v>
      </c>
      <c r="F2007" s="58"/>
      <c r="G2007" s="58">
        <v>2.5</v>
      </c>
      <c r="H2007" s="58" t="s">
        <v>10</v>
      </c>
    </row>
    <row r="2008" spans="2:8" ht="15" customHeight="1" x14ac:dyDescent="0.3">
      <c r="B2008" s="86">
        <v>45831</v>
      </c>
      <c r="C2008" s="9" t="s">
        <v>51</v>
      </c>
      <c r="D2008" s="9" t="s">
        <v>20</v>
      </c>
      <c r="E2008" s="18" t="str">
        <f>IFERROR(VLOOKUP(C2008,'Base de donnée articles'!$B$8:$C$331,2,FALSE)," ")</f>
        <v>SAU010</v>
      </c>
      <c r="F2008" s="58"/>
      <c r="G2008" s="58">
        <v>6.5</v>
      </c>
      <c r="H2008" s="58" t="s">
        <v>10</v>
      </c>
    </row>
    <row r="2009" spans="2:8" ht="15" customHeight="1" x14ac:dyDescent="0.3">
      <c r="B2009" s="86">
        <v>45831</v>
      </c>
      <c r="C2009" s="9" t="s">
        <v>70</v>
      </c>
      <c r="D2009" s="9" t="s">
        <v>71</v>
      </c>
      <c r="E2009" s="18" t="str">
        <f>IFERROR(VLOOKUP(C2009,'Base de donnée articles'!$B$8:$C$331,2,FALSE)," ")</f>
        <v>GAR014</v>
      </c>
      <c r="F2009" s="58"/>
      <c r="G2009" s="58">
        <v>2</v>
      </c>
      <c r="H2009" s="58" t="s">
        <v>10</v>
      </c>
    </row>
    <row r="2010" spans="2:8" ht="15" customHeight="1" x14ac:dyDescent="0.3">
      <c r="B2010" s="86">
        <v>45831</v>
      </c>
      <c r="C2010" s="9" t="s">
        <v>79</v>
      </c>
      <c r="D2010" s="9" t="s">
        <v>20</v>
      </c>
      <c r="E2010" s="18" t="str">
        <f>IFERROR(VLOOKUP(C2010,'Base de donnée articles'!$B$8:$C$331,2,FALSE)," ")</f>
        <v>FRT100</v>
      </c>
      <c r="F2010" s="58"/>
      <c r="G2010" s="58">
        <v>1</v>
      </c>
      <c r="H2010" s="58" t="s">
        <v>10</v>
      </c>
    </row>
    <row r="2011" spans="2:8" ht="15" customHeight="1" x14ac:dyDescent="0.3">
      <c r="B2011" s="86">
        <v>45831</v>
      </c>
      <c r="C2011" s="14" t="s">
        <v>110</v>
      </c>
      <c r="D2011" s="9" t="s">
        <v>12</v>
      </c>
      <c r="E2011" s="18" t="str">
        <f>IFERROR(VLOOKUP(C2011,'Base de donnée articles'!$B$8:$C$331,2,FALSE)," ")</f>
        <v>CH073</v>
      </c>
      <c r="F2011" s="58"/>
      <c r="G2011" s="58">
        <v>103</v>
      </c>
      <c r="H2011" s="58" t="s">
        <v>10</v>
      </c>
    </row>
    <row r="2012" spans="2:8" ht="15" customHeight="1" x14ac:dyDescent="0.3">
      <c r="B2012" s="86">
        <v>45831</v>
      </c>
      <c r="C2012" s="18" t="s">
        <v>178</v>
      </c>
      <c r="D2012" s="9" t="s">
        <v>12</v>
      </c>
      <c r="E2012" s="18" t="str">
        <f>IFERROR(VLOOKUP(C2012,'Base de donnée articles'!$B$8:$C$331,2,FALSE)," ")</f>
        <v>LAN</v>
      </c>
      <c r="F2012" s="58">
        <v>6</v>
      </c>
      <c r="G2012" s="58"/>
      <c r="H2012" s="58" t="s">
        <v>18</v>
      </c>
    </row>
    <row r="2013" spans="2:8" ht="15" customHeight="1" x14ac:dyDescent="0.3">
      <c r="B2013" s="86">
        <v>45831</v>
      </c>
      <c r="C2013" s="18" t="s">
        <v>115</v>
      </c>
      <c r="D2013" s="9" t="s">
        <v>12</v>
      </c>
      <c r="E2013" s="18" t="str">
        <f>IFERROR(VLOOKUP(C2013,'Base de donnée articles'!$B$8:$C$331,2,FALSE)," ")</f>
        <v>KON</v>
      </c>
      <c r="F2013" s="58"/>
      <c r="G2013" s="58">
        <v>3</v>
      </c>
      <c r="H2013" s="58" t="s">
        <v>10</v>
      </c>
    </row>
    <row r="2014" spans="2:8" ht="15" customHeight="1" x14ac:dyDescent="0.3">
      <c r="B2014" s="86">
        <v>45833</v>
      </c>
      <c r="C2014" s="9" t="s">
        <v>30</v>
      </c>
      <c r="D2014" s="9" t="s">
        <v>8</v>
      </c>
      <c r="E2014" s="18" t="str">
        <f>IFERROR(VLOOKUP(C2014,'Base de donnée articles'!$B$8:$C$331,2,FALSE)," ")</f>
        <v>PAT002</v>
      </c>
      <c r="F2014" s="58">
        <v>1</v>
      </c>
      <c r="G2014" s="58"/>
      <c r="H2014" s="58" t="s">
        <v>18</v>
      </c>
    </row>
    <row r="2015" spans="2:8" ht="15" customHeight="1" x14ac:dyDescent="0.3">
      <c r="B2015" s="86">
        <v>45834</v>
      </c>
      <c r="C2015" s="9" t="s">
        <v>185</v>
      </c>
      <c r="D2015" s="9" t="s">
        <v>12</v>
      </c>
      <c r="E2015" s="18" t="str">
        <f>IFERROR(VLOOKUP(C2015,'Base de donnée articles'!$B$8:$C$331,2,FALSE)," ")</f>
        <v>PAT007</v>
      </c>
      <c r="F2015" s="58"/>
      <c r="G2015" s="58">
        <v>6</v>
      </c>
      <c r="H2015" s="58" t="s">
        <v>10</v>
      </c>
    </row>
    <row r="2016" spans="2:8" ht="15" customHeight="1" x14ac:dyDescent="0.3">
      <c r="B2016" s="86">
        <v>45834</v>
      </c>
      <c r="C2016" s="9" t="s">
        <v>28</v>
      </c>
      <c r="D2016" s="9" t="s">
        <v>8</v>
      </c>
      <c r="E2016" s="18" t="str">
        <f>IFERROR(VLOOKUP(C2016,'Base de donnée articles'!$B$8:$C$331,2,FALSE)," ")</f>
        <v>PAT003</v>
      </c>
      <c r="F2016" s="58"/>
      <c r="G2016" s="58">
        <v>1</v>
      </c>
      <c r="H2016" s="58" t="s">
        <v>10</v>
      </c>
    </row>
    <row r="2017" spans="2:8" ht="15" customHeight="1" x14ac:dyDescent="0.3">
      <c r="B2017" s="86">
        <v>45834</v>
      </c>
      <c r="C2017" s="9" t="s">
        <v>7</v>
      </c>
      <c r="D2017" s="9" t="s">
        <v>8</v>
      </c>
      <c r="E2017" s="18" t="str">
        <f>IFERROR(VLOOKUP(C2017,'Base de donnée articles'!$B$8:$C$331,2,FALSE)," ")</f>
        <v>PAT004</v>
      </c>
      <c r="F2017" s="58"/>
      <c r="G2017" s="58">
        <v>2</v>
      </c>
      <c r="H2017" s="58" t="s">
        <v>10</v>
      </c>
    </row>
    <row r="2018" spans="2:8" ht="15" customHeight="1" x14ac:dyDescent="0.3">
      <c r="B2018" s="86">
        <v>45834</v>
      </c>
      <c r="C2018" s="9" t="s">
        <v>75</v>
      </c>
      <c r="D2018" s="9" t="s">
        <v>8</v>
      </c>
      <c r="E2018" s="18" t="str">
        <f>IFERROR(VLOOKUP(C2018,'Base de donnée articles'!$B$8:$C$331,2,FALSE)," ")</f>
        <v>PAT009</v>
      </c>
      <c r="F2018" s="58"/>
      <c r="G2018" s="58">
        <v>1</v>
      </c>
      <c r="H2018" s="58" t="s">
        <v>10</v>
      </c>
    </row>
    <row r="2019" spans="2:8" ht="15" customHeight="1" x14ac:dyDescent="0.3">
      <c r="B2019" s="86">
        <v>45834</v>
      </c>
      <c r="C2019" s="9" t="s">
        <v>73</v>
      </c>
      <c r="D2019" s="9" t="s">
        <v>71</v>
      </c>
      <c r="E2019" s="18" t="str">
        <f>IFERROR(VLOOKUP(C2019,'Base de donnée articles'!$B$8:$C$331,2,FALSE)," ")</f>
        <v>GAR007</v>
      </c>
      <c r="F2019" s="58"/>
      <c r="G2019" s="58">
        <v>1</v>
      </c>
      <c r="H2019" s="58" t="s">
        <v>10</v>
      </c>
    </row>
    <row r="2020" spans="2:8" ht="15" customHeight="1" x14ac:dyDescent="0.3">
      <c r="B2020" s="86">
        <v>45834</v>
      </c>
      <c r="C2020" s="9" t="s">
        <v>70</v>
      </c>
      <c r="D2020" s="9" t="s">
        <v>71</v>
      </c>
      <c r="E2020" s="18" t="str">
        <f>IFERROR(VLOOKUP(C2020,'Base de donnée articles'!$B$8:$C$331,2,FALSE)," ")</f>
        <v>GAR014</v>
      </c>
      <c r="F2020" s="58"/>
      <c r="G2020" s="58">
        <v>1</v>
      </c>
      <c r="H2020" s="58" t="s">
        <v>10</v>
      </c>
    </row>
    <row r="2021" spans="2:8" ht="15" customHeight="1" x14ac:dyDescent="0.3">
      <c r="B2021" s="86">
        <v>45834</v>
      </c>
      <c r="C2021" s="9" t="s">
        <v>39</v>
      </c>
      <c r="D2021" s="9" t="s">
        <v>20</v>
      </c>
      <c r="E2021" s="18" t="str">
        <f>IFERROR(VLOOKUP(C2021,'Base de donnée articles'!$B$8:$C$331,2,FALSE)," ")</f>
        <v>GAR004</v>
      </c>
      <c r="F2021" s="58"/>
      <c r="G2021" s="58">
        <f>10.8-3.5</f>
        <v>7.3000000000000007</v>
      </c>
      <c r="H2021" s="58" t="s">
        <v>10</v>
      </c>
    </row>
    <row r="2022" spans="2:8" ht="15" customHeight="1" x14ac:dyDescent="0.3">
      <c r="B2022" s="86">
        <v>45834</v>
      </c>
      <c r="C2022" s="9" t="s">
        <v>41</v>
      </c>
      <c r="D2022" s="9" t="s">
        <v>20</v>
      </c>
      <c r="E2022" s="18" t="str">
        <f>IFERROR(VLOOKUP(C2022,'Base de donnée articles'!$B$8:$C$331,2,FALSE)," ")</f>
        <v>GAR005</v>
      </c>
      <c r="F2022" s="58"/>
      <c r="G2022" s="58">
        <v>4</v>
      </c>
      <c r="H2022" s="58" t="s">
        <v>10</v>
      </c>
    </row>
    <row r="2023" spans="2:8" ht="15" customHeight="1" x14ac:dyDescent="0.3">
      <c r="B2023" s="86">
        <v>45834</v>
      </c>
      <c r="C2023" s="9" t="s">
        <v>68</v>
      </c>
      <c r="D2023" s="9" t="s">
        <v>12</v>
      </c>
      <c r="E2023" s="18" t="str">
        <f>IFERROR(VLOOKUP(C2023,'Base de donnée articles'!$B$8:$C$331,2,FALSE)," ")</f>
        <v>CH025</v>
      </c>
      <c r="F2023" s="58"/>
      <c r="G2023" s="58">
        <v>8</v>
      </c>
      <c r="H2023" s="58" t="s">
        <v>10</v>
      </c>
    </row>
    <row r="2024" spans="2:8" ht="15" customHeight="1" x14ac:dyDescent="0.3">
      <c r="B2024" s="86">
        <v>45834</v>
      </c>
      <c r="C2024" s="9" t="s">
        <v>61</v>
      </c>
      <c r="D2024" s="9" t="s">
        <v>20</v>
      </c>
      <c r="E2024" s="18" t="str">
        <f>IFERROR(VLOOKUP(C2024,'Base de donnée articles'!$B$8:$C$331,2,FALSE)," ")</f>
        <v>CH070</v>
      </c>
      <c r="F2024" s="58"/>
      <c r="G2024" s="58">
        <v>3</v>
      </c>
      <c r="H2024" s="58" t="s">
        <v>10</v>
      </c>
    </row>
    <row r="2025" spans="2:8" ht="15" customHeight="1" x14ac:dyDescent="0.3">
      <c r="B2025" s="86">
        <v>45834</v>
      </c>
      <c r="C2025" s="114" t="s">
        <v>181</v>
      </c>
      <c r="D2025" s="9" t="s">
        <v>20</v>
      </c>
      <c r="E2025" s="18" t="str">
        <f>IFERROR(VLOOKUP(C2025,'Base de donnée articles'!$B$8:$C$331,2,FALSE)," ")</f>
        <v>PAT008</v>
      </c>
      <c r="F2025" s="58"/>
      <c r="G2025" s="58">
        <v>4</v>
      </c>
      <c r="H2025" s="58" t="s">
        <v>10</v>
      </c>
    </row>
    <row r="2026" spans="2:8" ht="15" customHeight="1" x14ac:dyDescent="0.3">
      <c r="B2026" s="86">
        <v>45834</v>
      </c>
      <c r="C2026" s="115" t="s">
        <v>183</v>
      </c>
      <c r="D2026" s="9" t="s">
        <v>20</v>
      </c>
      <c r="E2026" s="18" t="str">
        <f>IFERROR(VLOOKUP(C2026,'Base de donnée articles'!$B$8:$C$331,2,FALSE)," ")</f>
        <v>FAR</v>
      </c>
      <c r="F2026" s="58"/>
      <c r="G2026" s="58">
        <v>4</v>
      </c>
      <c r="H2026" s="58" t="s">
        <v>10</v>
      </c>
    </row>
    <row r="2027" spans="2:8" ht="15" customHeight="1" x14ac:dyDescent="0.3">
      <c r="B2027" s="86">
        <v>45834</v>
      </c>
      <c r="C2027" s="26" t="s">
        <v>101</v>
      </c>
      <c r="D2027" s="9" t="s">
        <v>8</v>
      </c>
      <c r="E2027" s="18" t="str">
        <f>IFERROR(VLOOKUP(C2027,'Base de donnée articles'!$B$8:$C$331,2,FALSE)," ")</f>
        <v>PA011</v>
      </c>
      <c r="F2027" s="58">
        <v>1</v>
      </c>
      <c r="G2027" s="58"/>
      <c r="H2027" s="58" t="s">
        <v>18</v>
      </c>
    </row>
    <row r="2028" spans="2:8" ht="15" customHeight="1" x14ac:dyDescent="0.3">
      <c r="B2028" s="86">
        <v>45834</v>
      </c>
      <c r="C2028" s="9" t="s">
        <v>7</v>
      </c>
      <c r="D2028" s="9" t="s">
        <v>8</v>
      </c>
      <c r="E2028" s="18" t="str">
        <f>IFERROR(VLOOKUP(C2028,'Base de donnée articles'!$B$8:$C$331,2,FALSE)," ")</f>
        <v>PAT004</v>
      </c>
      <c r="F2028" s="58">
        <v>2</v>
      </c>
      <c r="G2028" s="58"/>
      <c r="H2028" s="58" t="s">
        <v>18</v>
      </c>
    </row>
    <row r="2029" spans="2:8" ht="15" customHeight="1" x14ac:dyDescent="0.3">
      <c r="B2029" s="86">
        <v>45834</v>
      </c>
      <c r="C2029" s="9" t="s">
        <v>28</v>
      </c>
      <c r="D2029" s="9" t="s">
        <v>8</v>
      </c>
      <c r="E2029" s="18" t="str">
        <f>IFERROR(VLOOKUP(C2029,'Base de donnée articles'!$B$8:$C$331,2,FALSE)," ")</f>
        <v>PAT003</v>
      </c>
      <c r="F2029" s="58">
        <v>2</v>
      </c>
      <c r="G2029" s="58"/>
      <c r="H2029" s="58" t="s">
        <v>18</v>
      </c>
    </row>
    <row r="2030" spans="2:8" ht="15" customHeight="1" x14ac:dyDescent="0.3">
      <c r="B2030" s="86">
        <v>45837</v>
      </c>
      <c r="C2030" s="9" t="s">
        <v>30</v>
      </c>
      <c r="D2030" s="9" t="s">
        <v>8</v>
      </c>
      <c r="E2030" s="18" t="str">
        <f>IFERROR(VLOOKUP(C2030,'Base de donnée articles'!$B$8:$C$331,2,FALSE)," ")</f>
        <v>PAT002</v>
      </c>
      <c r="F2030" s="58">
        <v>1</v>
      </c>
      <c r="G2030" s="58"/>
      <c r="H2030" s="58" t="s">
        <v>18</v>
      </c>
    </row>
    <row r="2031" spans="2:8" ht="15" customHeight="1" x14ac:dyDescent="0.3">
      <c r="B2031" s="86">
        <v>45837</v>
      </c>
      <c r="C2031" s="9" t="s">
        <v>28</v>
      </c>
      <c r="D2031" s="9" t="s">
        <v>8</v>
      </c>
      <c r="E2031" s="18" t="str">
        <f>IFERROR(VLOOKUP(C2031,'Base de donnée articles'!$B$8:$C$331,2,FALSE)," ")</f>
        <v>PAT003</v>
      </c>
      <c r="F2031" s="58"/>
      <c r="G2031" s="58">
        <v>3</v>
      </c>
      <c r="H2031" s="58" t="s">
        <v>10</v>
      </c>
    </row>
    <row r="2032" spans="2:8" ht="15" customHeight="1" x14ac:dyDescent="0.3">
      <c r="B2032" s="86">
        <v>45837</v>
      </c>
      <c r="C2032" s="9" t="s">
        <v>7</v>
      </c>
      <c r="D2032" s="9" t="s">
        <v>8</v>
      </c>
      <c r="E2032" s="18" t="str">
        <f>IFERROR(VLOOKUP(C2032,'Base de donnée articles'!$B$8:$C$331,2,FALSE)," ")</f>
        <v>PAT004</v>
      </c>
      <c r="F2032" s="58"/>
      <c r="G2032" s="58">
        <v>1</v>
      </c>
      <c r="H2032" s="58" t="s">
        <v>10</v>
      </c>
    </row>
    <row r="2033" spans="2:8" ht="15" customHeight="1" x14ac:dyDescent="0.3">
      <c r="B2033" s="86">
        <v>45837</v>
      </c>
      <c r="C2033" s="9" t="s">
        <v>30</v>
      </c>
      <c r="D2033" s="9" t="s">
        <v>8</v>
      </c>
      <c r="E2033" s="18" t="str">
        <f>IFERROR(VLOOKUP(C2033,'Base de donnée articles'!$B$8:$C$331,2,FALSE)," ")</f>
        <v>PAT002</v>
      </c>
      <c r="F2033" s="58"/>
      <c r="G2033" s="58">
        <v>2</v>
      </c>
      <c r="H2033" s="58" t="s">
        <v>10</v>
      </c>
    </row>
    <row r="2034" spans="2:8" ht="15" customHeight="1" x14ac:dyDescent="0.3">
      <c r="B2034" s="86">
        <v>45838</v>
      </c>
      <c r="C2034" s="9" t="s">
        <v>61</v>
      </c>
      <c r="D2034" s="9" t="s">
        <v>20</v>
      </c>
      <c r="E2034" s="18" t="str">
        <f>IFERROR(VLOOKUP(C2034,'Base de donnée articles'!$B$8:$C$331,2,FALSE)," ")</f>
        <v>CH070</v>
      </c>
      <c r="F2034" s="58">
        <v>10</v>
      </c>
      <c r="G2034" s="58"/>
      <c r="H2034" s="58" t="s">
        <v>18</v>
      </c>
    </row>
    <row r="2035" spans="2:8" ht="15" customHeight="1" x14ac:dyDescent="0.3">
      <c r="B2035" s="86">
        <v>45838</v>
      </c>
      <c r="C2035" s="18" t="s">
        <v>32</v>
      </c>
      <c r="D2035" s="25" t="s">
        <v>33</v>
      </c>
      <c r="E2035" s="18" t="str">
        <f>IFERROR(VLOOKUP(C2035,'Base de donnée articles'!$B$8:$C$331,2,FALSE)," ")</f>
        <v>MAY</v>
      </c>
      <c r="F2035" s="58">
        <v>1</v>
      </c>
      <c r="G2035" s="58"/>
      <c r="H2035" s="58" t="s">
        <v>18</v>
      </c>
    </row>
    <row r="2036" spans="2:8" ht="15" customHeight="1" x14ac:dyDescent="0.3">
      <c r="B2036" s="86">
        <v>45838</v>
      </c>
      <c r="C2036" s="18" t="s">
        <v>117</v>
      </c>
      <c r="D2036" s="25" t="s">
        <v>33</v>
      </c>
      <c r="E2036" s="18" t="str">
        <f>IFERROR(VLOOKUP(C2036,'Base de donnée articles'!$B$8:$C$331,2,FALSE)," ")</f>
        <v>KET</v>
      </c>
      <c r="F2036" s="58">
        <v>1</v>
      </c>
      <c r="G2036" s="58"/>
      <c r="H2036" s="58" t="s">
        <v>18</v>
      </c>
    </row>
    <row r="2037" spans="2:8" ht="15" customHeight="1" x14ac:dyDescent="0.3">
      <c r="B2037" s="86">
        <v>45838</v>
      </c>
      <c r="C2037" s="18" t="s">
        <v>178</v>
      </c>
      <c r="D2037" s="9" t="s">
        <v>12</v>
      </c>
      <c r="E2037" s="18" t="str">
        <f>IFERROR(VLOOKUP(C2037,'Base de donnée articles'!$B$8:$C$331,2,FALSE)," ")</f>
        <v>LAN</v>
      </c>
      <c r="F2037" s="58">
        <v>8</v>
      </c>
      <c r="G2037" s="58"/>
      <c r="H2037" s="58" t="s">
        <v>18</v>
      </c>
    </row>
    <row r="2038" spans="2:8" ht="15" customHeight="1" x14ac:dyDescent="0.3">
      <c r="B2038" s="86">
        <v>45838</v>
      </c>
      <c r="C2038" s="9" t="s">
        <v>39</v>
      </c>
      <c r="D2038" s="9" t="s">
        <v>20</v>
      </c>
      <c r="E2038" s="18" t="str">
        <f>IFERROR(VLOOKUP(C2038,'Base de donnée articles'!$B$8:$C$331,2,FALSE)," ")</f>
        <v>GAR004</v>
      </c>
      <c r="F2038" s="58">
        <v>10</v>
      </c>
      <c r="G2038" s="58"/>
      <c r="H2038" s="58" t="s">
        <v>18</v>
      </c>
    </row>
    <row r="2039" spans="2:8" ht="15" customHeight="1" x14ac:dyDescent="0.3">
      <c r="B2039" s="86">
        <v>45838</v>
      </c>
      <c r="C2039" s="9" t="s">
        <v>41</v>
      </c>
      <c r="D2039" s="9" t="s">
        <v>20</v>
      </c>
      <c r="E2039" s="18" t="str">
        <f>IFERROR(VLOOKUP(C2039,'Base de donnée articles'!$B$8:$C$331,2,FALSE)," ")</f>
        <v>GAR005</v>
      </c>
      <c r="F2039" s="58">
        <v>10</v>
      </c>
      <c r="G2039" s="58"/>
      <c r="H2039" s="58" t="s">
        <v>18</v>
      </c>
    </row>
    <row r="2040" spans="2:8" ht="15" customHeight="1" x14ac:dyDescent="0.3">
      <c r="B2040" s="86">
        <v>45838</v>
      </c>
      <c r="C2040" s="9" t="s">
        <v>51</v>
      </c>
      <c r="D2040" s="9" t="s">
        <v>20</v>
      </c>
      <c r="E2040" s="18" t="str">
        <f>IFERROR(VLOOKUP(C2040,'Base de donnée articles'!$B$8:$C$331,2,FALSE)," ")</f>
        <v>SAU010</v>
      </c>
      <c r="F2040" s="58">
        <v>10</v>
      </c>
      <c r="G2040" s="58"/>
      <c r="H2040" s="58" t="s">
        <v>18</v>
      </c>
    </row>
    <row r="2041" spans="2:8" ht="15" customHeight="1" x14ac:dyDescent="0.3">
      <c r="B2041" s="86">
        <v>45838</v>
      </c>
      <c r="C2041" s="9" t="s">
        <v>70</v>
      </c>
      <c r="D2041" s="9" t="s">
        <v>71</v>
      </c>
      <c r="E2041" s="18" t="str">
        <f>IFERROR(VLOOKUP(C2041,'Base de donnée articles'!$B$8:$C$331,2,FALSE)," ")</f>
        <v>GAR014</v>
      </c>
      <c r="F2041" s="58">
        <v>1</v>
      </c>
      <c r="G2041" s="58"/>
      <c r="H2041" s="58" t="s">
        <v>18</v>
      </c>
    </row>
    <row r="2042" spans="2:8" ht="15" customHeight="1" x14ac:dyDescent="0.3">
      <c r="B2042" s="86">
        <v>45838</v>
      </c>
      <c r="C2042" s="9" t="s">
        <v>73</v>
      </c>
      <c r="D2042" s="9" t="s">
        <v>71</v>
      </c>
      <c r="E2042" s="18" t="str">
        <f>IFERROR(VLOOKUP(C2042,'Base de donnée articles'!$B$8:$C$331,2,FALSE)," ")</f>
        <v>GAR007</v>
      </c>
      <c r="F2042" s="58">
        <v>1</v>
      </c>
      <c r="G2042" s="58"/>
      <c r="H2042" s="58" t="s">
        <v>18</v>
      </c>
    </row>
    <row r="2043" spans="2:8" ht="15" customHeight="1" x14ac:dyDescent="0.3">
      <c r="B2043" s="86">
        <v>45838</v>
      </c>
      <c r="C2043" s="9" t="s">
        <v>30</v>
      </c>
      <c r="D2043" s="9" t="s">
        <v>8</v>
      </c>
      <c r="E2043" s="18" t="str">
        <f>IFERROR(VLOOKUP(C2043,'Base de donnée articles'!$B$8:$C$331,2,FALSE)," ")</f>
        <v>PAT002</v>
      </c>
      <c r="F2043" s="58">
        <v>1</v>
      </c>
      <c r="G2043" s="58"/>
      <c r="H2043" s="58" t="s">
        <v>18</v>
      </c>
    </row>
    <row r="2044" spans="2:8" ht="15" customHeight="1" x14ac:dyDescent="0.3">
      <c r="B2044" s="86">
        <v>45838</v>
      </c>
      <c r="C2044" s="9" t="s">
        <v>28</v>
      </c>
      <c r="D2044" s="9" t="s">
        <v>8</v>
      </c>
      <c r="E2044" s="18" t="str">
        <f>IFERROR(VLOOKUP(C2044,'Base de donnée articles'!$B$8:$C$331,2,FALSE)," ")</f>
        <v>PAT003</v>
      </c>
      <c r="F2044" s="58">
        <v>3</v>
      </c>
      <c r="G2044" s="58"/>
      <c r="H2044" s="58" t="s">
        <v>18</v>
      </c>
    </row>
    <row r="2045" spans="2:8" ht="15" customHeight="1" x14ac:dyDescent="0.3">
      <c r="B2045" s="86">
        <v>45838</v>
      </c>
      <c r="C2045" s="9" t="s">
        <v>7</v>
      </c>
      <c r="D2045" s="9" t="s">
        <v>8</v>
      </c>
      <c r="E2045" s="18" t="str">
        <f>IFERROR(VLOOKUP(C2045,'Base de donnée articles'!$B$8:$C$331,2,FALSE)," ")</f>
        <v>PAT004</v>
      </c>
      <c r="F2045" s="58">
        <v>2</v>
      </c>
      <c r="G2045" s="58"/>
      <c r="H2045" s="58" t="s">
        <v>18</v>
      </c>
    </row>
    <row r="2046" spans="2:8" ht="15" customHeight="1" x14ac:dyDescent="0.3">
      <c r="B2046" s="86">
        <v>45838</v>
      </c>
      <c r="C2046" s="9" t="s">
        <v>75</v>
      </c>
      <c r="D2046" s="9" t="s">
        <v>8</v>
      </c>
      <c r="E2046" s="18" t="str">
        <f>IFERROR(VLOOKUP(C2046,'Base de donnée articles'!$B$8:$C$331,2,FALSE)," ")</f>
        <v>PAT009</v>
      </c>
      <c r="F2046" s="58">
        <v>1</v>
      </c>
      <c r="G2046" s="58"/>
      <c r="H2046" s="58" t="s">
        <v>18</v>
      </c>
    </row>
    <row r="2047" spans="2:8" ht="15" customHeight="1" x14ac:dyDescent="0.3">
      <c r="B2047" s="86">
        <v>45839</v>
      </c>
      <c r="C2047" s="117" t="s">
        <v>93</v>
      </c>
      <c r="D2047" s="118" t="s">
        <v>12</v>
      </c>
      <c r="E2047" s="18" t="str">
        <f>IFERROR(VLOOKUP(C2047,'Base de donnée articles'!$B$8:$C$331,2,FALSE)," ")</f>
        <v>CH002</v>
      </c>
      <c r="F2047" s="36"/>
      <c r="G2047" s="36">
        <v>4</v>
      </c>
      <c r="H2047" s="36" t="s">
        <v>10</v>
      </c>
    </row>
    <row r="2048" spans="2:8" ht="15" customHeight="1" x14ac:dyDescent="0.3">
      <c r="B2048" s="86">
        <v>45839</v>
      </c>
      <c r="C2048" s="9" t="s">
        <v>185</v>
      </c>
      <c r="D2048" s="9" t="s">
        <v>12</v>
      </c>
      <c r="E2048" s="18" t="str">
        <f>IFERROR(VLOOKUP(C2048,'Base de donnée articles'!$B$8:$C$331,2,FALSE)," ")</f>
        <v>PAT007</v>
      </c>
      <c r="F2048" s="58"/>
      <c r="G2048" s="58">
        <v>26</v>
      </c>
      <c r="H2048" s="58" t="s">
        <v>10</v>
      </c>
    </row>
    <row r="2049" spans="2:8" ht="15" customHeight="1" x14ac:dyDescent="0.3">
      <c r="B2049" s="86">
        <v>45839</v>
      </c>
      <c r="C2049" s="9" t="s">
        <v>28</v>
      </c>
      <c r="D2049" s="9" t="s">
        <v>8</v>
      </c>
      <c r="E2049" s="18" t="str">
        <f>IFERROR(VLOOKUP(C2049,'Base de donnée articles'!$B$8:$C$331,2,FALSE)," ")</f>
        <v>PAT003</v>
      </c>
      <c r="F2049" s="58"/>
      <c r="G2049" s="58">
        <v>1</v>
      </c>
      <c r="H2049" s="58" t="s">
        <v>10</v>
      </c>
    </row>
    <row r="2050" spans="2:8" ht="15" customHeight="1" x14ac:dyDescent="0.3">
      <c r="B2050" s="86">
        <v>45839</v>
      </c>
      <c r="C2050" s="9" t="s">
        <v>75</v>
      </c>
      <c r="D2050" s="9" t="s">
        <v>8</v>
      </c>
      <c r="E2050" s="18" t="str">
        <f>IFERROR(VLOOKUP(C2050,'Base de donnée articles'!$B$8:$C$331,2,FALSE)," ")</f>
        <v>PAT009</v>
      </c>
      <c r="F2050" s="58"/>
      <c r="G2050" s="58">
        <v>1</v>
      </c>
      <c r="H2050" s="58" t="s">
        <v>10</v>
      </c>
    </row>
    <row r="2051" spans="2:8" ht="15" customHeight="1" x14ac:dyDescent="0.3">
      <c r="B2051" s="86">
        <v>45839</v>
      </c>
      <c r="C2051" s="90" t="s">
        <v>7</v>
      </c>
      <c r="D2051" s="91" t="s">
        <v>8</v>
      </c>
      <c r="E2051" s="117" t="s">
        <v>9</v>
      </c>
      <c r="F2051" s="58"/>
      <c r="G2051" s="58">
        <v>1</v>
      </c>
      <c r="H2051" s="58" t="s">
        <v>10</v>
      </c>
    </row>
    <row r="2052" spans="2:8" ht="15" customHeight="1" x14ac:dyDescent="0.3">
      <c r="B2052" s="86">
        <v>45839</v>
      </c>
      <c r="C2052" s="9" t="s">
        <v>73</v>
      </c>
      <c r="D2052" s="9" t="s">
        <v>71</v>
      </c>
      <c r="E2052" s="18" t="str">
        <f>IFERROR(VLOOKUP(C2052,'Base de donnée articles'!$B$8:$C$331,2,FALSE)," ")</f>
        <v>GAR007</v>
      </c>
      <c r="F2052" s="58"/>
      <c r="G2052" s="58">
        <v>1</v>
      </c>
      <c r="H2052" s="58" t="s">
        <v>10</v>
      </c>
    </row>
    <row r="2053" spans="2:8" ht="15" customHeight="1" x14ac:dyDescent="0.3">
      <c r="B2053" s="86">
        <v>45839</v>
      </c>
      <c r="C2053" s="9" t="s">
        <v>70</v>
      </c>
      <c r="D2053" s="9" t="s">
        <v>71</v>
      </c>
      <c r="E2053" s="18" t="str">
        <f>IFERROR(VLOOKUP(C2053,'Base de donnée articles'!$B$8:$C$331,2,FALSE)," ")</f>
        <v>GAR014</v>
      </c>
      <c r="F2053" s="58"/>
      <c r="G2053" s="58">
        <v>1</v>
      </c>
      <c r="H2053" s="58" t="s">
        <v>10</v>
      </c>
    </row>
    <row r="2054" spans="2:8" ht="15" customHeight="1" x14ac:dyDescent="0.3">
      <c r="B2054" s="86">
        <v>45839</v>
      </c>
      <c r="C2054" s="9" t="s">
        <v>39</v>
      </c>
      <c r="D2054" s="9" t="s">
        <v>20</v>
      </c>
      <c r="E2054" s="18" t="str">
        <f>IFERROR(VLOOKUP(C2054,'Base de donnée articles'!$B$8:$C$331,2,FALSE)," ")</f>
        <v>GAR004</v>
      </c>
      <c r="F2054" s="58"/>
      <c r="G2054" s="58">
        <v>8</v>
      </c>
      <c r="H2054" s="58" t="s">
        <v>10</v>
      </c>
    </row>
    <row r="2055" spans="2:8" ht="15" customHeight="1" x14ac:dyDescent="0.3">
      <c r="B2055" s="86">
        <v>45839</v>
      </c>
      <c r="C2055" s="9" t="s">
        <v>41</v>
      </c>
      <c r="D2055" s="9" t="s">
        <v>20</v>
      </c>
      <c r="E2055" s="18" t="str">
        <f>IFERROR(VLOOKUP(C2055,'Base de donnée articles'!$B$8:$C$331,2,FALSE)," ")</f>
        <v>GAR005</v>
      </c>
      <c r="F2055" s="58"/>
      <c r="G2055" s="58">
        <v>6</v>
      </c>
      <c r="H2055" s="58" t="s">
        <v>10</v>
      </c>
    </row>
    <row r="2056" spans="2:8" ht="15" customHeight="1" x14ac:dyDescent="0.3">
      <c r="B2056" s="86">
        <v>45839</v>
      </c>
      <c r="C2056" s="18" t="s">
        <v>32</v>
      </c>
      <c r="D2056" s="25" t="s">
        <v>160</v>
      </c>
      <c r="E2056" s="18" t="str">
        <f>IFERROR(VLOOKUP(C2056,'Base de donnée articles'!$B$8:$C$331,2,FALSE)," ")</f>
        <v>MAY</v>
      </c>
      <c r="F2056" s="58"/>
      <c r="G2056" s="58">
        <v>1</v>
      </c>
      <c r="H2056" s="58" t="s">
        <v>10</v>
      </c>
    </row>
    <row r="2057" spans="2:8" ht="15" customHeight="1" x14ac:dyDescent="0.3">
      <c r="B2057" s="86">
        <v>45839</v>
      </c>
      <c r="C2057" s="18" t="s">
        <v>117</v>
      </c>
      <c r="D2057" s="25" t="s">
        <v>160</v>
      </c>
      <c r="E2057" s="18" t="str">
        <f>IFERROR(VLOOKUP(C2057,'Base de donnée articles'!$B$8:$C$331,2,FALSE)," ")</f>
        <v>KET</v>
      </c>
      <c r="F2057" s="58"/>
      <c r="G2057" s="58">
        <v>1</v>
      </c>
      <c r="H2057" s="58" t="s">
        <v>10</v>
      </c>
    </row>
    <row r="2058" spans="2:8" ht="15" customHeight="1" x14ac:dyDescent="0.3">
      <c r="B2058" s="86">
        <v>45839</v>
      </c>
      <c r="C2058" s="9" t="s">
        <v>61</v>
      </c>
      <c r="D2058" s="9" t="s">
        <v>20</v>
      </c>
      <c r="E2058" s="18" t="str">
        <f>IFERROR(VLOOKUP(C2058,'Base de donnée articles'!$B$8:$C$331,2,FALSE)," ")</f>
        <v>CH070</v>
      </c>
      <c r="F2058" s="58"/>
      <c r="G2058" s="58">
        <v>3</v>
      </c>
      <c r="H2058" s="58" t="s">
        <v>10</v>
      </c>
    </row>
    <row r="2059" spans="2:8" ht="15" customHeight="1" x14ac:dyDescent="0.3">
      <c r="B2059" s="86">
        <v>45839</v>
      </c>
      <c r="C2059" s="9" t="s">
        <v>79</v>
      </c>
      <c r="D2059" s="9" t="s">
        <v>20</v>
      </c>
      <c r="E2059" s="18" t="str">
        <f>IFERROR(VLOOKUP(C2059,'Base de donnée articles'!$B$8:$C$331,2,FALSE)," ")</f>
        <v>FRT100</v>
      </c>
      <c r="F2059" s="58"/>
      <c r="G2059" s="58">
        <v>6</v>
      </c>
      <c r="H2059" s="58" t="s">
        <v>10</v>
      </c>
    </row>
    <row r="2060" spans="2:8" ht="15" customHeight="1" x14ac:dyDescent="0.3">
      <c r="B2060" s="86">
        <v>45839</v>
      </c>
      <c r="C2060" s="14" t="s">
        <v>110</v>
      </c>
      <c r="D2060" s="9" t="s">
        <v>12</v>
      </c>
      <c r="E2060" s="18" t="str">
        <f>IFERROR(VLOOKUP(C2060,'Base de donnée articles'!$B$8:$C$331,2,FALSE)," ")</f>
        <v>CH073</v>
      </c>
      <c r="F2060" s="58"/>
      <c r="G2060" s="58">
        <v>24</v>
      </c>
      <c r="H2060" s="58" t="s">
        <v>10</v>
      </c>
    </row>
    <row r="2061" spans="2:8" ht="15" customHeight="1" x14ac:dyDescent="0.3">
      <c r="B2061" s="86">
        <v>45839</v>
      </c>
      <c r="C2061" s="18" t="s">
        <v>178</v>
      </c>
      <c r="D2061" s="9" t="s">
        <v>12</v>
      </c>
      <c r="E2061" s="18" t="str">
        <f>IFERROR(VLOOKUP(C2061,'Base de donnée articles'!$B$8:$C$331,2,FALSE)," ")</f>
        <v>LAN</v>
      </c>
      <c r="F2061" s="58"/>
      <c r="G2061" s="58">
        <v>4</v>
      </c>
      <c r="H2061" s="58" t="s">
        <v>10</v>
      </c>
    </row>
    <row r="2062" spans="2:8" ht="15" customHeight="1" x14ac:dyDescent="0.3">
      <c r="B2062" s="86">
        <v>45839</v>
      </c>
      <c r="C2062" s="114" t="s">
        <v>181</v>
      </c>
      <c r="D2062" s="9" t="s">
        <v>20</v>
      </c>
      <c r="E2062" s="18" t="str">
        <f>IFERROR(VLOOKUP(C2062,'Base de donnée articles'!$B$8:$C$331,2,FALSE)," ")</f>
        <v>PAT008</v>
      </c>
      <c r="F2062" s="58"/>
      <c r="G2062" s="58">
        <v>3</v>
      </c>
      <c r="H2062" s="58" t="s">
        <v>10</v>
      </c>
    </row>
    <row r="2063" spans="2:8" ht="15" customHeight="1" x14ac:dyDescent="0.3">
      <c r="B2063" s="86">
        <v>45841</v>
      </c>
      <c r="C2063" s="9" t="s">
        <v>30</v>
      </c>
      <c r="D2063" s="9" t="s">
        <v>8</v>
      </c>
      <c r="E2063" s="18" t="str">
        <f>IFERROR(VLOOKUP(C2063,'Base de donnée articles'!$B$8:$C$331,2,FALSE)," ")</f>
        <v>PAT002</v>
      </c>
      <c r="F2063" s="58"/>
      <c r="G2063" s="58">
        <v>1</v>
      </c>
      <c r="H2063" s="58" t="s">
        <v>10</v>
      </c>
    </row>
    <row r="2064" spans="2:8" ht="15" customHeight="1" x14ac:dyDescent="0.3">
      <c r="B2064" s="86">
        <v>45841</v>
      </c>
      <c r="C2064" s="9" t="s">
        <v>28</v>
      </c>
      <c r="D2064" s="9" t="s">
        <v>8</v>
      </c>
      <c r="E2064" s="18" t="str">
        <f>IFERROR(VLOOKUP(C2064,'Base de donnée articles'!$B$8:$C$331,2,FALSE)," ")</f>
        <v>PAT003</v>
      </c>
      <c r="F2064" s="58"/>
      <c r="G2064" s="58">
        <v>1</v>
      </c>
      <c r="H2064" s="58" t="s">
        <v>10</v>
      </c>
    </row>
    <row r="2065" spans="2:8" ht="15" customHeight="1" x14ac:dyDescent="0.3">
      <c r="B2065" s="86">
        <v>45841</v>
      </c>
      <c r="C2065" s="9" t="s">
        <v>7</v>
      </c>
      <c r="D2065" s="9" t="s">
        <v>8</v>
      </c>
      <c r="E2065" s="18" t="str">
        <f>IFERROR(VLOOKUP(C2065,'Base de donnée articles'!$B$8:$C$331,2,FALSE)," ")</f>
        <v>PAT004</v>
      </c>
      <c r="F2065" s="58"/>
      <c r="G2065" s="58">
        <v>1</v>
      </c>
      <c r="H2065" s="58" t="s">
        <v>10</v>
      </c>
    </row>
    <row r="2066" spans="2:8" ht="15" customHeight="1" x14ac:dyDescent="0.3">
      <c r="B2066" s="86">
        <v>45841</v>
      </c>
      <c r="C2066" s="9" t="s">
        <v>43</v>
      </c>
      <c r="D2066" s="9" t="s">
        <v>20</v>
      </c>
      <c r="E2066" s="18" t="str">
        <f>IFERROR(VLOOKUP(C2066,'Base de donnée articles'!$B$8:$C$331,2,FALSE)," ")</f>
        <v>SAU011</v>
      </c>
      <c r="F2066" s="58"/>
      <c r="G2066" s="58">
        <v>1.7</v>
      </c>
      <c r="H2066" s="58" t="s">
        <v>10</v>
      </c>
    </row>
    <row r="2067" spans="2:8" ht="15" customHeight="1" x14ac:dyDescent="0.3">
      <c r="B2067" s="86">
        <v>45841</v>
      </c>
      <c r="C2067" s="9" t="s">
        <v>77</v>
      </c>
      <c r="D2067" s="9" t="s">
        <v>20</v>
      </c>
      <c r="E2067" s="18" t="str">
        <f>IFERROR(VLOOKUP(C2067,'Base de donnée articles'!$B$8:$C$331,2,FALSE)," ")</f>
        <v>SAU012</v>
      </c>
      <c r="F2067" s="58"/>
      <c r="G2067" s="58">
        <v>0.35</v>
      </c>
      <c r="H2067" s="58" t="s">
        <v>10</v>
      </c>
    </row>
    <row r="2068" spans="2:8" ht="15" customHeight="1" x14ac:dyDescent="0.3">
      <c r="B2068" s="86">
        <v>45841</v>
      </c>
      <c r="C2068" s="9" t="s">
        <v>39</v>
      </c>
      <c r="D2068" s="9" t="s">
        <v>20</v>
      </c>
      <c r="E2068" s="18" t="str">
        <f>IFERROR(VLOOKUP(C2068,'Base de donnée articles'!$B$8:$C$331,2,FALSE)," ")</f>
        <v>GAR004</v>
      </c>
      <c r="F2068" s="58"/>
      <c r="G2068" s="58">
        <v>2.8</v>
      </c>
      <c r="H2068" s="58" t="s">
        <v>10</v>
      </c>
    </row>
    <row r="2069" spans="2:8" ht="15" customHeight="1" x14ac:dyDescent="0.3">
      <c r="B2069" s="86">
        <v>45841</v>
      </c>
      <c r="C2069" s="9" t="s">
        <v>41</v>
      </c>
      <c r="D2069" s="9" t="s">
        <v>20</v>
      </c>
      <c r="E2069" s="18" t="str">
        <f>IFERROR(VLOOKUP(C2069,'Base de donnée articles'!$B$8:$C$331,2,FALSE)," ")</f>
        <v>GAR005</v>
      </c>
      <c r="F2069" s="58"/>
      <c r="G2069" s="58">
        <v>2.8</v>
      </c>
      <c r="H2069" s="58" t="s">
        <v>10</v>
      </c>
    </row>
    <row r="2070" spans="2:8" ht="15" customHeight="1" x14ac:dyDescent="0.3">
      <c r="B2070" s="86">
        <v>45841</v>
      </c>
      <c r="C2070" s="9" t="s">
        <v>51</v>
      </c>
      <c r="D2070" s="9" t="s">
        <v>20</v>
      </c>
      <c r="E2070" s="18" t="str">
        <f>IFERROR(VLOOKUP(C2070,'Base de donnée articles'!$B$8:$C$331,2,FALSE)," ")</f>
        <v>SAU010</v>
      </c>
      <c r="F2070" s="58"/>
      <c r="G2070" s="58">
        <v>5</v>
      </c>
      <c r="H2070" s="58" t="s">
        <v>10</v>
      </c>
    </row>
    <row r="2071" spans="2:8" ht="15" customHeight="1" x14ac:dyDescent="0.3">
      <c r="B2071" s="86">
        <v>45841</v>
      </c>
      <c r="C2071" s="9" t="s">
        <v>80</v>
      </c>
      <c r="D2071" s="9" t="s">
        <v>71</v>
      </c>
      <c r="E2071" s="18" t="str">
        <f>IFERROR(VLOOKUP(C2071,'Base de donnée articles'!$B$8:$C$331,2,FALSE)," ")</f>
        <v>GAR011</v>
      </c>
      <c r="F2071" s="58"/>
      <c r="G2071" s="58">
        <v>2</v>
      </c>
      <c r="H2071" s="58" t="s">
        <v>10</v>
      </c>
    </row>
    <row r="2072" spans="2:8" ht="15" customHeight="1" x14ac:dyDescent="0.3">
      <c r="B2072" s="86">
        <v>45841</v>
      </c>
      <c r="C2072" s="9" t="s">
        <v>61</v>
      </c>
      <c r="D2072" s="9" t="s">
        <v>20</v>
      </c>
      <c r="E2072" s="18" t="str">
        <f>IFERROR(VLOOKUP(C2072,'Base de donnée articles'!$B$8:$C$331,2,FALSE)," ")</f>
        <v>CH070</v>
      </c>
      <c r="F2072" s="58"/>
      <c r="G2072" s="58">
        <v>1</v>
      </c>
      <c r="H2072" s="58" t="s">
        <v>10</v>
      </c>
    </row>
    <row r="2073" spans="2:8" ht="15" customHeight="1" x14ac:dyDescent="0.3">
      <c r="B2073" s="86">
        <v>45841</v>
      </c>
      <c r="C2073" s="14" t="s">
        <v>110</v>
      </c>
      <c r="D2073" s="9" t="s">
        <v>12</v>
      </c>
      <c r="E2073" s="18" t="str">
        <f>IFERROR(VLOOKUP(C2073,'Base de donnée articles'!$B$8:$C$331,2,FALSE)," ")</f>
        <v>CH073</v>
      </c>
      <c r="F2073" s="58"/>
      <c r="G2073" s="58">
        <f>6*12</f>
        <v>72</v>
      </c>
      <c r="H2073" s="58" t="s">
        <v>10</v>
      </c>
    </row>
    <row r="2074" spans="2:8" ht="15" customHeight="1" x14ac:dyDescent="0.3">
      <c r="B2074" s="86">
        <v>45841</v>
      </c>
      <c r="C2074" s="119" t="s">
        <v>183</v>
      </c>
      <c r="D2074" s="120" t="s">
        <v>12</v>
      </c>
      <c r="E2074" s="93" t="str">
        <f>IFERROR(VLOOKUP(C2074,'Base de donnée articles'!$B$8:$C$331,2,FALSE)," ")</f>
        <v>FAR</v>
      </c>
      <c r="F2074" s="121"/>
      <c r="G2074" s="121">
        <v>8</v>
      </c>
      <c r="H2074" s="121" t="s">
        <v>10</v>
      </c>
    </row>
    <row r="2075" spans="2:8" ht="15" customHeight="1" x14ac:dyDescent="0.3">
      <c r="B2075" s="86">
        <v>45841</v>
      </c>
      <c r="C2075" s="123" t="s">
        <v>39</v>
      </c>
      <c r="D2075" s="123" t="s">
        <v>20</v>
      </c>
      <c r="E2075" s="124" t="str">
        <f>IFERROR(VLOOKUP(C2075,'Base de donnée articles'!$B$8:$C$331,2,FALSE)," ")</f>
        <v>GAR004</v>
      </c>
      <c r="F2075" s="122">
        <v>5</v>
      </c>
      <c r="G2075" s="122"/>
      <c r="H2075" s="122" t="s">
        <v>18</v>
      </c>
    </row>
    <row r="2076" spans="2:8" ht="15" customHeight="1" x14ac:dyDescent="0.3">
      <c r="B2076" s="86">
        <v>45841</v>
      </c>
      <c r="C2076" s="123" t="s">
        <v>41</v>
      </c>
      <c r="D2076" s="123" t="s">
        <v>20</v>
      </c>
      <c r="E2076" s="124" t="str">
        <f>IFERROR(VLOOKUP(C2076,'Base de donnée articles'!$B$8:$C$331,2,FALSE)," ")</f>
        <v>GAR005</v>
      </c>
      <c r="F2076" s="122">
        <v>5</v>
      </c>
      <c r="G2076" s="122"/>
      <c r="H2076" s="122" t="s">
        <v>18</v>
      </c>
    </row>
    <row r="2077" spans="2:8" ht="15" customHeight="1" x14ac:dyDescent="0.3">
      <c r="B2077" s="86">
        <v>45841</v>
      </c>
      <c r="C2077" s="125" t="s">
        <v>75</v>
      </c>
      <c r="D2077" s="125" t="s">
        <v>8</v>
      </c>
      <c r="E2077" s="124" t="str">
        <f>IFERROR(VLOOKUP(C2077,'Base de donnée articles'!$B$8:$C$331,2,FALSE)," ")</f>
        <v>PAT009</v>
      </c>
      <c r="F2077" s="125">
        <v>1</v>
      </c>
      <c r="G2077" s="125"/>
      <c r="H2077" s="125" t="s">
        <v>18</v>
      </c>
    </row>
    <row r="2078" spans="2:8" ht="15" customHeight="1" x14ac:dyDescent="0.3">
      <c r="B2078" s="86">
        <v>45841</v>
      </c>
      <c r="C2078" s="117" t="s">
        <v>93</v>
      </c>
      <c r="D2078" s="125" t="s">
        <v>12</v>
      </c>
      <c r="E2078" s="18" t="s">
        <v>94</v>
      </c>
      <c r="F2078" s="125"/>
      <c r="G2078" s="125">
        <v>10</v>
      </c>
      <c r="H2078" s="125" t="s">
        <v>10</v>
      </c>
    </row>
    <row r="2079" spans="2:8" ht="15" customHeight="1" x14ac:dyDescent="0.3">
      <c r="B2079" s="126">
        <v>45843</v>
      </c>
      <c r="C2079" s="14" t="s">
        <v>110</v>
      </c>
      <c r="D2079" s="125" t="s">
        <v>12</v>
      </c>
      <c r="E2079" s="124" t="str">
        <f>IFERROR(VLOOKUP(C2079,'Base de donnée articles'!$B$8:$C$331,2,FALSE)," ")</f>
        <v>CH073</v>
      </c>
      <c r="F2079" s="125">
        <v>120</v>
      </c>
      <c r="G2079" s="125"/>
      <c r="H2079" s="125" t="s">
        <v>18</v>
      </c>
    </row>
    <row r="2080" spans="2:8" ht="15" customHeight="1" x14ac:dyDescent="0.3">
      <c r="B2080" s="126">
        <v>45843</v>
      </c>
      <c r="C2080" s="125" t="s">
        <v>77</v>
      </c>
      <c r="D2080" s="125" t="s">
        <v>20</v>
      </c>
      <c r="E2080" s="124" t="str">
        <f>IFERROR(VLOOKUP(C2080,'Base de donnée articles'!$B$8:$C$331,2,FALSE)," ")</f>
        <v>SAU012</v>
      </c>
      <c r="F2080" s="125">
        <v>0.92</v>
      </c>
      <c r="G2080" s="125"/>
      <c r="H2080" s="125" t="s">
        <v>18</v>
      </c>
    </row>
    <row r="2081" spans="2:8" ht="15" customHeight="1" x14ac:dyDescent="0.3">
      <c r="B2081" s="126">
        <v>45844</v>
      </c>
      <c r="C2081" s="123" t="s">
        <v>39</v>
      </c>
      <c r="D2081" s="123" t="s">
        <v>20</v>
      </c>
      <c r="E2081" s="124" t="str">
        <f>IFERROR(VLOOKUP(C2081,'Base de donnée articles'!$B$8:$C$331,2,FALSE)," ")</f>
        <v>GAR004</v>
      </c>
      <c r="F2081" s="125">
        <v>5</v>
      </c>
      <c r="G2081" s="125"/>
      <c r="H2081" s="125" t="s">
        <v>18</v>
      </c>
    </row>
    <row r="2082" spans="2:8" ht="15" customHeight="1" x14ac:dyDescent="0.3">
      <c r="B2082" s="126">
        <v>45844</v>
      </c>
      <c r="C2082" s="123" t="s">
        <v>41</v>
      </c>
      <c r="D2082" s="123" t="s">
        <v>20</v>
      </c>
      <c r="E2082" s="124" t="str">
        <f>IFERROR(VLOOKUP(C2082,'Base de donnée articles'!$B$8:$C$331,2,FALSE)," ")</f>
        <v>GAR005</v>
      </c>
      <c r="F2082" s="125">
        <v>5</v>
      </c>
      <c r="G2082" s="125"/>
      <c r="H2082" s="125" t="s">
        <v>18</v>
      </c>
    </row>
    <row r="2083" spans="2:8" ht="15" customHeight="1" x14ac:dyDescent="0.3">
      <c r="B2083" s="126">
        <v>45844</v>
      </c>
      <c r="C2083" s="125" t="s">
        <v>30</v>
      </c>
      <c r="D2083" s="125" t="s">
        <v>8</v>
      </c>
      <c r="E2083" s="124" t="str">
        <f>IFERROR(VLOOKUP(C2083,'Base de donnée articles'!$B$8:$C$331,2,FALSE)," ")</f>
        <v>PAT002</v>
      </c>
      <c r="F2083" s="125">
        <v>1</v>
      </c>
      <c r="G2083" s="125"/>
      <c r="H2083" s="125" t="s">
        <v>18</v>
      </c>
    </row>
    <row r="2084" spans="2:8" ht="15" customHeight="1" x14ac:dyDescent="0.3">
      <c r="B2084" s="126">
        <v>45844</v>
      </c>
      <c r="C2084" s="125" t="s">
        <v>30</v>
      </c>
      <c r="D2084" s="125" t="s">
        <v>8</v>
      </c>
      <c r="E2084" s="124" t="str">
        <f>IFERROR(VLOOKUP(C2084,'Base de donnée articles'!$B$8:$C$331,2,FALSE)," ")</f>
        <v>PAT002</v>
      </c>
      <c r="F2084" s="125"/>
      <c r="G2084" s="125">
        <v>1</v>
      </c>
      <c r="H2084" s="125" t="s">
        <v>10</v>
      </c>
    </row>
    <row r="2085" spans="2:8" ht="15" customHeight="1" x14ac:dyDescent="0.3">
      <c r="B2085" s="126">
        <v>45845</v>
      </c>
      <c r="C2085" s="14" t="s">
        <v>110</v>
      </c>
      <c r="D2085" s="9" t="s">
        <v>12</v>
      </c>
      <c r="E2085" s="18" t="str">
        <f>IFERROR(VLOOKUP(C2085,'Base de donnée articles'!$B$8:$C$331,2,FALSE)," ")</f>
        <v>CH073</v>
      </c>
      <c r="F2085" s="125"/>
      <c r="G2085" s="125">
        <v>50</v>
      </c>
      <c r="H2085" s="125" t="s">
        <v>10</v>
      </c>
    </row>
    <row r="2086" spans="2:8" ht="15" customHeight="1" x14ac:dyDescent="0.3">
      <c r="B2086" s="126">
        <v>45845</v>
      </c>
      <c r="C2086" s="125" t="s">
        <v>28</v>
      </c>
      <c r="D2086" s="125" t="s">
        <v>8</v>
      </c>
      <c r="E2086" s="124" t="str">
        <f>IFERROR(VLOOKUP(C2086,'Base de donnée articles'!$B$8:$C$331,2,FALSE)," ")</f>
        <v>PAT003</v>
      </c>
      <c r="F2086" s="125"/>
      <c r="G2086" s="125">
        <v>1</v>
      </c>
      <c r="H2086" s="125" t="s">
        <v>10</v>
      </c>
    </row>
    <row r="2087" spans="2:8" ht="15" customHeight="1" x14ac:dyDescent="0.3">
      <c r="B2087" s="126">
        <v>45845</v>
      </c>
      <c r="C2087" s="125" t="s">
        <v>75</v>
      </c>
      <c r="D2087" s="125" t="s">
        <v>8</v>
      </c>
      <c r="E2087" s="124" t="str">
        <f>IFERROR(VLOOKUP(C2087,'Base de donnée articles'!$B$8:$C$331,2,FALSE)," ")</f>
        <v>PAT009</v>
      </c>
      <c r="F2087" s="125"/>
      <c r="G2087" s="125">
        <v>1</v>
      </c>
      <c r="H2087" s="125" t="s">
        <v>10</v>
      </c>
    </row>
    <row r="2088" spans="2:8" ht="15" customHeight="1" x14ac:dyDescent="0.3">
      <c r="B2088" s="126">
        <v>45845</v>
      </c>
      <c r="C2088" s="125" t="s">
        <v>43</v>
      </c>
      <c r="D2088" s="125" t="s">
        <v>20</v>
      </c>
      <c r="E2088" s="124" t="str">
        <f>IFERROR(VLOOKUP(C2088,'Base de donnée articles'!$B$8:$C$331,2,FALSE)," ")</f>
        <v>SAU011</v>
      </c>
      <c r="F2088" s="125"/>
      <c r="G2088" s="125">
        <v>1.6</v>
      </c>
      <c r="H2088" s="125" t="s">
        <v>10</v>
      </c>
    </row>
    <row r="2089" spans="2:8" ht="15" customHeight="1" x14ac:dyDescent="0.3">
      <c r="B2089" s="126">
        <v>45845</v>
      </c>
      <c r="C2089" s="123" t="s">
        <v>39</v>
      </c>
      <c r="D2089" s="125" t="s">
        <v>20</v>
      </c>
      <c r="E2089" s="124" t="str">
        <f>IFERROR(VLOOKUP(C2089,'Base de donnée articles'!$B$8:$C$331,2,FALSE)," ")</f>
        <v>GAR004</v>
      </c>
      <c r="F2089" s="125"/>
      <c r="G2089" s="125">
        <f>12.7-8</f>
        <v>4.6999999999999993</v>
      </c>
      <c r="H2089" s="125" t="s">
        <v>10</v>
      </c>
    </row>
    <row r="2090" spans="2:8" ht="15" customHeight="1" x14ac:dyDescent="0.3">
      <c r="B2090" s="126">
        <v>45845</v>
      </c>
      <c r="C2090" s="123" t="s">
        <v>41</v>
      </c>
      <c r="D2090" s="125" t="s">
        <v>20</v>
      </c>
      <c r="E2090" s="124" t="str">
        <f>IFERROR(VLOOKUP(C2090,'Base de donnée articles'!$B$8:$C$331,2,FALSE)," ")</f>
        <v>GAR005</v>
      </c>
      <c r="F2090" s="125"/>
      <c r="G2090" s="125">
        <f>17.2-8</f>
        <v>9.1999999999999993</v>
      </c>
      <c r="H2090" s="125" t="s">
        <v>10</v>
      </c>
    </row>
    <row r="2091" spans="2:8" ht="15" customHeight="1" x14ac:dyDescent="0.3">
      <c r="B2091" s="126">
        <v>45845</v>
      </c>
      <c r="C2091" s="125" t="s">
        <v>61</v>
      </c>
      <c r="D2091" s="125" t="s">
        <v>20</v>
      </c>
      <c r="E2091" s="124" t="str">
        <f>IFERROR(VLOOKUP(C2091,'Base de donnée articles'!$B$8:$C$331,2,FALSE)," ")</f>
        <v>CH070</v>
      </c>
      <c r="F2091" s="125"/>
      <c r="G2091" s="125">
        <v>3</v>
      </c>
      <c r="H2091" s="125" t="s">
        <v>10</v>
      </c>
    </row>
    <row r="2092" spans="2:8" ht="15" customHeight="1" x14ac:dyDescent="0.3">
      <c r="B2092" s="126">
        <v>45845</v>
      </c>
      <c r="C2092" s="125" t="s">
        <v>115</v>
      </c>
      <c r="D2092" s="125" t="s">
        <v>186</v>
      </c>
      <c r="E2092" s="124" t="str">
        <f>IFERROR(VLOOKUP(C2092,'Base de donnée articles'!$B$8:$C$331,2,FALSE)," ")</f>
        <v>KON</v>
      </c>
      <c r="F2092" s="125"/>
      <c r="G2092" s="125">
        <v>2</v>
      </c>
      <c r="H2092" s="125" t="s">
        <v>10</v>
      </c>
    </row>
    <row r="2093" spans="2:8" ht="15" customHeight="1" x14ac:dyDescent="0.3">
      <c r="B2093" s="126">
        <v>45845</v>
      </c>
      <c r="C2093" s="18" t="s">
        <v>178</v>
      </c>
      <c r="D2093" s="125" t="s">
        <v>12</v>
      </c>
      <c r="E2093" s="124" t="str">
        <f>IFERROR(VLOOKUP(C2093,'Base de donnée articles'!$B$8:$C$331,2,FALSE)," ")</f>
        <v>LAN</v>
      </c>
      <c r="F2093" s="125"/>
      <c r="G2093" s="125">
        <v>1</v>
      </c>
      <c r="H2093" s="125" t="s">
        <v>10</v>
      </c>
    </row>
    <row r="2094" spans="2:8" ht="15" customHeight="1" x14ac:dyDescent="0.3">
      <c r="B2094" s="126">
        <v>45845</v>
      </c>
      <c r="C2094" s="115" t="s">
        <v>183</v>
      </c>
      <c r="D2094" s="125" t="s">
        <v>12</v>
      </c>
      <c r="E2094" s="124" t="str">
        <f>IFERROR(VLOOKUP(C2094,'Base de donnée articles'!$B$8:$C$331,2,FALSE)," ")</f>
        <v>FAR</v>
      </c>
      <c r="F2094" s="125"/>
      <c r="G2094" s="125">
        <v>1</v>
      </c>
      <c r="H2094" s="125" t="s">
        <v>10</v>
      </c>
    </row>
    <row r="2095" spans="2:8" ht="15" customHeight="1" x14ac:dyDescent="0.3">
      <c r="B2095" s="126">
        <v>45846</v>
      </c>
      <c r="C2095" s="125" t="s">
        <v>28</v>
      </c>
      <c r="D2095" s="125" t="s">
        <v>8</v>
      </c>
      <c r="E2095" s="124" t="str">
        <f>IFERROR(VLOOKUP(C2095,'Base de donnée articles'!$B$8:$C$331,2,FALSE)," ")</f>
        <v>PAT003</v>
      </c>
      <c r="F2095" s="125">
        <v>3</v>
      </c>
      <c r="G2095" s="125"/>
      <c r="H2095" s="125" t="s">
        <v>18</v>
      </c>
    </row>
    <row r="2096" spans="2:8" ht="15" customHeight="1" x14ac:dyDescent="0.3">
      <c r="B2096" s="126">
        <v>45846</v>
      </c>
      <c r="C2096" s="125" t="s">
        <v>7</v>
      </c>
      <c r="D2096" s="125" t="s">
        <v>8</v>
      </c>
      <c r="E2096" s="124" t="str">
        <f>IFERROR(VLOOKUP(C2096,'Base de donnée articles'!$B$8:$C$331,2,FALSE)," ")</f>
        <v>PAT004</v>
      </c>
      <c r="F2096" s="125">
        <v>2</v>
      </c>
      <c r="G2096" s="125"/>
      <c r="H2096" s="125" t="s">
        <v>18</v>
      </c>
    </row>
    <row r="2097" spans="2:8" ht="15" customHeight="1" x14ac:dyDescent="0.3">
      <c r="B2097" s="126">
        <v>45846</v>
      </c>
      <c r="C2097" s="125" t="s">
        <v>75</v>
      </c>
      <c r="D2097" s="125" t="s">
        <v>8</v>
      </c>
      <c r="E2097" s="124" t="str">
        <f>IFERROR(VLOOKUP(C2097,'Base de donnée articles'!$B$8:$C$331,2,FALSE)," ")</f>
        <v>PAT009</v>
      </c>
      <c r="F2097" s="125">
        <v>1</v>
      </c>
      <c r="G2097" s="125"/>
      <c r="H2097" s="125" t="s">
        <v>18</v>
      </c>
    </row>
    <row r="2098" spans="2:8" ht="15" customHeight="1" x14ac:dyDescent="0.3">
      <c r="B2098" s="126">
        <v>45846</v>
      </c>
      <c r="C2098" s="125" t="s">
        <v>30</v>
      </c>
      <c r="D2098" s="125" t="s">
        <v>8</v>
      </c>
      <c r="E2098" s="124" t="str">
        <f>IFERROR(VLOOKUP(C2098,'Base de donnée articles'!$B$8:$C$331,2,FALSE)," ")</f>
        <v>PAT002</v>
      </c>
      <c r="F2098" s="125">
        <v>1</v>
      </c>
      <c r="G2098" s="125"/>
      <c r="H2098" s="125" t="s">
        <v>18</v>
      </c>
    </row>
    <row r="2099" spans="2:8" ht="15" customHeight="1" x14ac:dyDescent="0.3">
      <c r="B2099" s="126">
        <v>45846</v>
      </c>
      <c r="C2099" s="125" t="s">
        <v>101</v>
      </c>
      <c r="D2099" s="125" t="s">
        <v>8</v>
      </c>
      <c r="E2099" s="124" t="str">
        <f>IFERROR(VLOOKUP(C2099,'Base de donnée articles'!$B$8:$C$331,2,FALSE)," ")</f>
        <v>PA011</v>
      </c>
      <c r="F2099" s="125">
        <v>1</v>
      </c>
      <c r="G2099" s="125"/>
      <c r="H2099" s="125" t="s">
        <v>18</v>
      </c>
    </row>
    <row r="2100" spans="2:8" ht="15" customHeight="1" x14ac:dyDescent="0.3">
      <c r="B2100" s="126">
        <v>45847</v>
      </c>
      <c r="C2100" s="123" t="s">
        <v>39</v>
      </c>
      <c r="D2100" s="125" t="s">
        <v>20</v>
      </c>
      <c r="E2100" s="124" t="str">
        <f>IFERROR(VLOOKUP(C2100,'Base de donnée articles'!$B$8:$C$331,2,FALSE)," ")</f>
        <v>GAR004</v>
      </c>
      <c r="F2100" s="125">
        <v>15</v>
      </c>
      <c r="G2100" s="125"/>
      <c r="H2100" s="125" t="s">
        <v>18</v>
      </c>
    </row>
    <row r="2101" spans="2:8" ht="15" customHeight="1" x14ac:dyDescent="0.3">
      <c r="B2101" s="126">
        <v>45847</v>
      </c>
      <c r="C2101" s="123" t="s">
        <v>41</v>
      </c>
      <c r="D2101" s="125" t="s">
        <v>20</v>
      </c>
      <c r="E2101" s="124" t="str">
        <f>IFERROR(VLOOKUP(C2101,'Base de donnée articles'!$B$8:$C$331,2,FALSE)," ")</f>
        <v>GAR005</v>
      </c>
      <c r="F2101" s="125">
        <v>15</v>
      </c>
      <c r="G2101" s="125"/>
      <c r="H2101" s="125" t="s">
        <v>18</v>
      </c>
    </row>
    <row r="2102" spans="2:8" ht="15" customHeight="1" x14ac:dyDescent="0.3">
      <c r="B2102" s="126">
        <v>45848</v>
      </c>
      <c r="C2102" s="125" t="s">
        <v>30</v>
      </c>
      <c r="D2102" s="125" t="s">
        <v>8</v>
      </c>
      <c r="E2102" s="124" t="str">
        <f>IFERROR(VLOOKUP(C2102,'Base de donnée articles'!$B$8:$C$331,2,FALSE)," ")</f>
        <v>PAT002</v>
      </c>
      <c r="F2102" s="125"/>
      <c r="G2102" s="125">
        <v>1</v>
      </c>
      <c r="H2102" s="125" t="s">
        <v>10</v>
      </c>
    </row>
    <row r="2103" spans="2:8" ht="15" customHeight="1" x14ac:dyDescent="0.3">
      <c r="B2103" s="126">
        <v>45848</v>
      </c>
      <c r="C2103" s="125" t="s">
        <v>28</v>
      </c>
      <c r="D2103" s="125" t="s">
        <v>8</v>
      </c>
      <c r="E2103" s="124" t="str">
        <f>IFERROR(VLOOKUP(C2103,'Base de donnée articles'!$B$8:$C$331,2,FALSE)," ")</f>
        <v>PAT003</v>
      </c>
      <c r="F2103" s="125"/>
      <c r="G2103" s="125">
        <v>1</v>
      </c>
      <c r="H2103" s="125" t="s">
        <v>10</v>
      </c>
    </row>
    <row r="2104" spans="2:8" ht="15" customHeight="1" x14ac:dyDescent="0.3">
      <c r="B2104" s="126">
        <v>45848</v>
      </c>
      <c r="C2104" s="125" t="s">
        <v>7</v>
      </c>
      <c r="D2104" s="125" t="s">
        <v>8</v>
      </c>
      <c r="E2104" s="124" t="str">
        <f>IFERROR(VLOOKUP(C2104,'Base de donnée articles'!$B$8:$C$331,2,FALSE)," ")</f>
        <v>PAT004</v>
      </c>
      <c r="F2104" s="125"/>
      <c r="G2104" s="125">
        <v>2</v>
      </c>
      <c r="H2104" s="125" t="s">
        <v>10</v>
      </c>
    </row>
    <row r="2105" spans="2:8" ht="15" customHeight="1" x14ac:dyDescent="0.3">
      <c r="B2105" s="126">
        <v>45848</v>
      </c>
      <c r="C2105" s="26" t="s">
        <v>101</v>
      </c>
      <c r="D2105" s="125" t="s">
        <v>8</v>
      </c>
      <c r="E2105" s="124" t="str">
        <f>IFERROR(VLOOKUP(C2105,'Base de donnée articles'!$B$8:$C$331,2,FALSE)," ")</f>
        <v>PA011</v>
      </c>
      <c r="F2105" s="125"/>
      <c r="G2105" s="125">
        <v>1</v>
      </c>
      <c r="H2105" s="125" t="s">
        <v>10</v>
      </c>
    </row>
    <row r="2106" spans="2:8" ht="15" customHeight="1" x14ac:dyDescent="0.3">
      <c r="B2106" s="126">
        <v>45848</v>
      </c>
      <c r="C2106" s="125" t="s">
        <v>43</v>
      </c>
      <c r="D2106" s="125" t="s">
        <v>20</v>
      </c>
      <c r="E2106" s="124" t="str">
        <f>IFERROR(VLOOKUP(C2106,'Base de donnée articles'!$B$8:$C$331,2,FALSE)," ")</f>
        <v>SAU011</v>
      </c>
      <c r="F2106" s="125"/>
      <c r="G2106" s="125">
        <v>0.7</v>
      </c>
      <c r="H2106" s="125" t="s">
        <v>10</v>
      </c>
    </row>
    <row r="2107" spans="2:8" ht="15" customHeight="1" x14ac:dyDescent="0.3">
      <c r="B2107" s="126">
        <v>45848</v>
      </c>
      <c r="C2107" s="125" t="s">
        <v>77</v>
      </c>
      <c r="D2107" s="125" t="s">
        <v>20</v>
      </c>
      <c r="E2107" s="124" t="str">
        <f>IFERROR(VLOOKUP(C2107,'Base de donnée articles'!$B$8:$C$331,2,FALSE)," ")</f>
        <v>SAU012</v>
      </c>
      <c r="F2107" s="125"/>
      <c r="G2107" s="125">
        <f>1.7-1.4</f>
        <v>0.30000000000000004</v>
      </c>
      <c r="H2107" s="125" t="s">
        <v>10</v>
      </c>
    </row>
    <row r="2108" spans="2:8" ht="15" customHeight="1" x14ac:dyDescent="0.3">
      <c r="B2108" s="126">
        <v>45848</v>
      </c>
      <c r="C2108" s="125" t="s">
        <v>73</v>
      </c>
      <c r="D2108" s="125" t="s">
        <v>71</v>
      </c>
      <c r="E2108" s="124" t="str">
        <f>IFERROR(VLOOKUP(C2108,'Base de donnée articles'!$B$8:$C$331,2,FALSE)," ")</f>
        <v>GAR007</v>
      </c>
      <c r="F2108" s="125"/>
      <c r="G2108" s="125">
        <v>1</v>
      </c>
      <c r="H2108" s="125" t="s">
        <v>10</v>
      </c>
    </row>
    <row r="2109" spans="2:8" ht="15" customHeight="1" x14ac:dyDescent="0.3">
      <c r="B2109" s="126">
        <v>45848</v>
      </c>
      <c r="C2109" s="125" t="s">
        <v>80</v>
      </c>
      <c r="D2109" s="125" t="s">
        <v>71</v>
      </c>
      <c r="E2109" s="124" t="str">
        <f>IFERROR(VLOOKUP(C2109,'Base de donnée articles'!$B$8:$C$331,2,FALSE)," ")</f>
        <v>GAR011</v>
      </c>
      <c r="F2109" s="125"/>
      <c r="G2109" s="125">
        <v>1</v>
      </c>
      <c r="H2109" s="125" t="s">
        <v>10</v>
      </c>
    </row>
    <row r="2110" spans="2:8" ht="15" customHeight="1" x14ac:dyDescent="0.3">
      <c r="B2110" s="126">
        <v>45848</v>
      </c>
      <c r="C2110" s="125" t="s">
        <v>70</v>
      </c>
      <c r="D2110" s="125" t="s">
        <v>71</v>
      </c>
      <c r="E2110" s="124" t="str">
        <f>IFERROR(VLOOKUP(C2110,'Base de donnée articles'!$B$8:$C$331,2,FALSE)," ")</f>
        <v>GAR014</v>
      </c>
      <c r="F2110" s="125"/>
      <c r="G2110" s="125">
        <v>1</v>
      </c>
      <c r="H2110" s="125" t="s">
        <v>10</v>
      </c>
    </row>
    <row r="2111" spans="2:8" ht="15" customHeight="1" x14ac:dyDescent="0.3">
      <c r="B2111" s="126">
        <v>45848</v>
      </c>
      <c r="C2111" s="123" t="s">
        <v>39</v>
      </c>
      <c r="D2111" s="125" t="s">
        <v>20</v>
      </c>
      <c r="E2111" s="124" t="str">
        <f>IFERROR(VLOOKUP(C2111,'Base de donnée articles'!$B$8:$C$331,2,FALSE)," ")</f>
        <v>GAR004</v>
      </c>
      <c r="F2111" s="125"/>
      <c r="G2111" s="125">
        <v>13</v>
      </c>
      <c r="H2111" s="125" t="s">
        <v>10</v>
      </c>
    </row>
    <row r="2112" spans="2:8" ht="15" customHeight="1" x14ac:dyDescent="0.3">
      <c r="B2112" s="126">
        <v>45848</v>
      </c>
      <c r="C2112" s="123" t="s">
        <v>41</v>
      </c>
      <c r="D2112" s="125" t="s">
        <v>20</v>
      </c>
      <c r="E2112" s="124" t="str">
        <f>IFERROR(VLOOKUP(C2112,'Base de donnée articles'!$B$8:$C$331,2,FALSE)," ")</f>
        <v>GAR005</v>
      </c>
      <c r="F2112" s="125"/>
      <c r="G2112" s="125">
        <v>13</v>
      </c>
      <c r="H2112" s="125" t="s">
        <v>10</v>
      </c>
    </row>
    <row r="2113" spans="2:8" ht="15" customHeight="1" x14ac:dyDescent="0.3">
      <c r="B2113" s="126">
        <v>45848</v>
      </c>
      <c r="C2113" s="14" t="s">
        <v>110</v>
      </c>
      <c r="D2113" s="125" t="s">
        <v>12</v>
      </c>
      <c r="E2113" s="124" t="str">
        <f>IFERROR(VLOOKUP(C2113,'Base de donnée articles'!$B$8:$C$331,2,FALSE)," ")</f>
        <v>CH073</v>
      </c>
      <c r="F2113" s="125"/>
      <c r="G2113" s="125">
        <v>96</v>
      </c>
      <c r="H2113" s="125" t="s">
        <v>10</v>
      </c>
    </row>
    <row r="2114" spans="2:8" ht="15" customHeight="1" x14ac:dyDescent="0.3">
      <c r="B2114" s="126">
        <v>45848</v>
      </c>
      <c r="C2114" s="18" t="s">
        <v>178</v>
      </c>
      <c r="D2114" s="125" t="s">
        <v>12</v>
      </c>
      <c r="E2114" s="124" t="str">
        <f>IFERROR(VLOOKUP(C2114,'Base de donnée articles'!$B$8:$C$331,2,FALSE)," ")</f>
        <v>LAN</v>
      </c>
      <c r="F2114" s="125"/>
      <c r="G2114" s="125">
        <v>4</v>
      </c>
      <c r="H2114" s="125" t="s">
        <v>10</v>
      </c>
    </row>
    <row r="2115" spans="2:8" ht="15" customHeight="1" x14ac:dyDescent="0.3">
      <c r="B2115" s="126">
        <v>45848</v>
      </c>
      <c r="C2115" s="125" t="s">
        <v>68</v>
      </c>
      <c r="D2115" s="125" t="s">
        <v>12</v>
      </c>
      <c r="E2115" s="124" t="str">
        <f>IFERROR(VLOOKUP(C2115,'Base de donnée articles'!$B$8:$C$331,2,FALSE)," ")</f>
        <v>CH025</v>
      </c>
      <c r="F2115" s="125"/>
      <c r="G2115" s="125">
        <v>6</v>
      </c>
      <c r="H2115" s="125" t="s">
        <v>10</v>
      </c>
    </row>
    <row r="2116" spans="2:8" ht="15" customHeight="1" x14ac:dyDescent="0.3">
      <c r="B2116" s="126">
        <v>45848</v>
      </c>
      <c r="C2116" s="125" t="s">
        <v>183</v>
      </c>
      <c r="D2116" s="125" t="s">
        <v>12</v>
      </c>
      <c r="E2116" s="124" t="str">
        <f>IFERROR(VLOOKUP(C2116,'Base de donnée articles'!$B$8:$C$331,2,FALSE)," ")</f>
        <v>FAR</v>
      </c>
      <c r="F2116" s="125"/>
      <c r="G2116" s="125">
        <v>2</v>
      </c>
      <c r="H2116" s="125" t="s">
        <v>10</v>
      </c>
    </row>
    <row r="2117" spans="2:8" ht="15" customHeight="1" x14ac:dyDescent="0.3">
      <c r="B2117" s="126">
        <v>45849</v>
      </c>
      <c r="C2117" s="125" t="s">
        <v>7</v>
      </c>
      <c r="D2117" s="125" t="s">
        <v>8</v>
      </c>
      <c r="E2117" s="124" t="str">
        <f>IFERROR(VLOOKUP(C2117,'Base de donnée articles'!$B$8:$C$331,2,FALSE)," ")</f>
        <v>PAT004</v>
      </c>
      <c r="F2117" s="125">
        <v>2</v>
      </c>
      <c r="G2117" s="125"/>
      <c r="H2117" s="125" t="s">
        <v>18</v>
      </c>
    </row>
    <row r="2118" spans="2:8" ht="15" customHeight="1" x14ac:dyDescent="0.3">
      <c r="B2118" s="126">
        <v>45849</v>
      </c>
      <c r="C2118" s="125" t="s">
        <v>30</v>
      </c>
      <c r="D2118" s="125" t="s">
        <v>8</v>
      </c>
      <c r="E2118" s="124" t="str">
        <f>IFERROR(VLOOKUP(C2118,'Base de donnée articles'!$B$8:$C$331,2,FALSE)," ")</f>
        <v>PAT002</v>
      </c>
      <c r="F2118" s="125">
        <v>1</v>
      </c>
      <c r="G2118" s="125"/>
      <c r="H2118" s="125" t="s">
        <v>18</v>
      </c>
    </row>
    <row r="2119" spans="2:8" ht="15" customHeight="1" x14ac:dyDescent="0.3">
      <c r="B2119" s="126">
        <v>45849</v>
      </c>
      <c r="C2119" s="125" t="s">
        <v>75</v>
      </c>
      <c r="D2119" s="125" t="s">
        <v>8</v>
      </c>
      <c r="E2119" s="124" t="str">
        <f>IFERROR(VLOOKUP(C2119,'Base de donnée articles'!$B$8:$C$331,2,FALSE)," ")</f>
        <v>PAT009</v>
      </c>
      <c r="F2119" s="125">
        <v>1</v>
      </c>
      <c r="G2119" s="125"/>
      <c r="H2119" s="125" t="s">
        <v>18</v>
      </c>
    </row>
    <row r="2120" spans="2:8" ht="15" customHeight="1" x14ac:dyDescent="0.3">
      <c r="B2120" s="126">
        <v>45852</v>
      </c>
      <c r="C2120" s="14" t="s">
        <v>126</v>
      </c>
      <c r="D2120" s="125" t="s">
        <v>12</v>
      </c>
      <c r="E2120" s="124" t="str">
        <f>IFERROR(VLOOKUP(C2120,'Base de donnée articles'!$B$8:$C$331,2,FALSE)," ")</f>
        <v>CH071</v>
      </c>
      <c r="F2120" s="125">
        <f>5*6</f>
        <v>30</v>
      </c>
      <c r="G2120" s="125"/>
      <c r="H2120" s="125" t="s">
        <v>18</v>
      </c>
    </row>
    <row r="2121" spans="2:8" ht="15" customHeight="1" x14ac:dyDescent="0.3">
      <c r="B2121" s="126">
        <v>45852</v>
      </c>
      <c r="C2121" s="125" t="s">
        <v>28</v>
      </c>
      <c r="D2121" s="125" t="s">
        <v>8</v>
      </c>
      <c r="E2121" s="124" t="str">
        <f>IFERROR(VLOOKUP(C2121,'Base de donnée articles'!$B$8:$C$331,2,FALSE)," ")</f>
        <v>PAT003</v>
      </c>
      <c r="F2121" s="125">
        <v>2</v>
      </c>
      <c r="G2121" s="125"/>
      <c r="H2121" s="125" t="s">
        <v>18</v>
      </c>
    </row>
    <row r="2122" spans="2:8" ht="15" customHeight="1" x14ac:dyDescent="0.3">
      <c r="B2122" s="126">
        <v>45852</v>
      </c>
      <c r="C2122" s="125" t="s">
        <v>30</v>
      </c>
      <c r="D2122" s="125" t="s">
        <v>8</v>
      </c>
      <c r="E2122" s="124" t="str">
        <f>IFERROR(VLOOKUP(C2122,'Base de donnée articles'!$B$8:$C$331,2,FALSE)," ")</f>
        <v>PAT002</v>
      </c>
      <c r="F2122" s="125">
        <v>1</v>
      </c>
      <c r="G2122" s="125"/>
      <c r="H2122" s="125" t="s">
        <v>18</v>
      </c>
    </row>
    <row r="2123" spans="2:8" ht="15" customHeight="1" x14ac:dyDescent="0.3">
      <c r="B2123" s="126">
        <v>45852</v>
      </c>
      <c r="C2123" s="125" t="s">
        <v>70</v>
      </c>
      <c r="D2123" s="125" t="s">
        <v>71</v>
      </c>
      <c r="E2123" s="124" t="str">
        <f>IFERROR(VLOOKUP(C2123,'Base de donnée articles'!$B$8:$C$331,2,FALSE)," ")</f>
        <v>GAR014</v>
      </c>
      <c r="F2123" s="125">
        <v>2</v>
      </c>
      <c r="G2123" s="125"/>
      <c r="H2123" s="125" t="s">
        <v>18</v>
      </c>
    </row>
    <row r="2124" spans="2:8" ht="15" customHeight="1" x14ac:dyDescent="0.3">
      <c r="B2124" s="126">
        <v>45852</v>
      </c>
      <c r="C2124" s="125" t="s">
        <v>73</v>
      </c>
      <c r="D2124" s="125" t="s">
        <v>71</v>
      </c>
      <c r="E2124" s="124" t="str">
        <f>IFERROR(VLOOKUP(C2124,'Base de donnée articles'!$B$8:$C$331,2,FALSE)," ")</f>
        <v>GAR007</v>
      </c>
      <c r="F2124" s="125">
        <v>2</v>
      </c>
      <c r="G2124" s="125"/>
      <c r="H2124" s="125" t="s">
        <v>18</v>
      </c>
    </row>
    <row r="2125" spans="2:8" ht="15" customHeight="1" x14ac:dyDescent="0.3">
      <c r="B2125" s="126">
        <v>45852</v>
      </c>
      <c r="C2125" s="125" t="s">
        <v>68</v>
      </c>
      <c r="D2125" s="125" t="s">
        <v>12</v>
      </c>
      <c r="E2125" s="124" t="str">
        <f>IFERROR(VLOOKUP(C2125,'Base de donnée articles'!$B$8:$C$331,2,FALSE)," ")</f>
        <v>CH025</v>
      </c>
      <c r="F2125" s="125">
        <v>10</v>
      </c>
      <c r="G2125" s="125"/>
      <c r="H2125" s="125" t="s">
        <v>18</v>
      </c>
    </row>
    <row r="2126" spans="2:8" ht="15" customHeight="1" x14ac:dyDescent="0.3">
      <c r="B2126" s="126">
        <v>45852</v>
      </c>
      <c r="C2126" s="125" t="s">
        <v>61</v>
      </c>
      <c r="D2126" s="125" t="s">
        <v>20</v>
      </c>
      <c r="E2126" s="124" t="str">
        <f>IFERROR(VLOOKUP(C2126,'Base de donnée articles'!$B$8:$C$331,2,FALSE)," ")</f>
        <v>CH070</v>
      </c>
      <c r="F2126" s="125">
        <v>10</v>
      </c>
      <c r="G2126" s="125"/>
      <c r="H2126" s="125" t="s">
        <v>18</v>
      </c>
    </row>
    <row r="2127" spans="2:8" ht="15" customHeight="1" x14ac:dyDescent="0.3">
      <c r="B2127" s="126">
        <v>45853</v>
      </c>
      <c r="C2127" s="125" t="s">
        <v>7</v>
      </c>
      <c r="D2127" s="125" t="s">
        <v>8</v>
      </c>
      <c r="E2127" s="124" t="str">
        <f>IFERROR(VLOOKUP(C2127,'Base de donnée articles'!$B$8:$C$331,2,FALSE)," ")</f>
        <v>PAT004</v>
      </c>
      <c r="F2127" s="125">
        <v>1</v>
      </c>
      <c r="G2127" s="125"/>
      <c r="H2127" s="125" t="s">
        <v>18</v>
      </c>
    </row>
    <row r="2128" spans="2:8" ht="15" customHeight="1" x14ac:dyDescent="0.3">
      <c r="B2128" s="126">
        <v>45853</v>
      </c>
      <c r="C2128" s="125" t="s">
        <v>30</v>
      </c>
      <c r="D2128" s="125" t="s">
        <v>8</v>
      </c>
      <c r="E2128" s="124" t="str">
        <f>IFERROR(VLOOKUP(C2128,'Base de donnée articles'!$B$8:$C$331,2,FALSE)," ")</f>
        <v>PAT002</v>
      </c>
      <c r="F2128" s="125"/>
      <c r="G2128" s="125">
        <v>2</v>
      </c>
      <c r="H2128" s="125" t="s">
        <v>10</v>
      </c>
    </row>
    <row r="2129" spans="2:8" ht="15" customHeight="1" x14ac:dyDescent="0.3">
      <c r="B2129" s="126">
        <v>45853</v>
      </c>
      <c r="C2129" s="125" t="s">
        <v>7</v>
      </c>
      <c r="D2129" s="125" t="s">
        <v>8</v>
      </c>
      <c r="E2129" s="124" t="str">
        <f>IFERROR(VLOOKUP(C2129,'Base de donnée articles'!$B$8:$C$331,2,FALSE)," ")</f>
        <v>PAT004</v>
      </c>
      <c r="F2129" s="125"/>
      <c r="G2129" s="125">
        <v>2</v>
      </c>
      <c r="H2129" s="125" t="s">
        <v>10</v>
      </c>
    </row>
    <row r="2130" spans="2:8" ht="15" customHeight="1" x14ac:dyDescent="0.3">
      <c r="B2130" s="126">
        <v>45853</v>
      </c>
      <c r="C2130" s="125" t="s">
        <v>28</v>
      </c>
      <c r="D2130" s="125" t="s">
        <v>8</v>
      </c>
      <c r="E2130" s="124" t="str">
        <f>IFERROR(VLOOKUP(C2130,'Base de donnée articles'!$B$8:$C$331,2,FALSE)," ")</f>
        <v>PAT003</v>
      </c>
      <c r="F2130" s="125"/>
      <c r="G2130" s="125">
        <v>3</v>
      </c>
      <c r="H2130" s="125" t="s">
        <v>10</v>
      </c>
    </row>
    <row r="2131" spans="2:8" ht="15" customHeight="1" x14ac:dyDescent="0.3">
      <c r="B2131" s="126">
        <v>45853</v>
      </c>
      <c r="C2131" s="125" t="s">
        <v>75</v>
      </c>
      <c r="D2131" s="125" t="s">
        <v>8</v>
      </c>
      <c r="E2131" s="124" t="str">
        <f>IFERROR(VLOOKUP(C2131,'Base de donnée articles'!$B$8:$C$331,2,FALSE)," ")</f>
        <v>PAT009</v>
      </c>
      <c r="F2131" s="125"/>
      <c r="G2131" s="125">
        <v>1</v>
      </c>
      <c r="H2131" s="125" t="s">
        <v>10</v>
      </c>
    </row>
    <row r="2132" spans="2:8" ht="15" customHeight="1" x14ac:dyDescent="0.3">
      <c r="B2132" s="126">
        <v>45853</v>
      </c>
      <c r="C2132" s="125" t="s">
        <v>43</v>
      </c>
      <c r="D2132" s="125" t="s">
        <v>20</v>
      </c>
      <c r="E2132" s="124" t="str">
        <f>IFERROR(VLOOKUP(C2132,'Base de donnée articles'!$B$8:$C$331,2,FALSE)," ")</f>
        <v>SAU011</v>
      </c>
      <c r="F2132" s="125"/>
      <c r="G2132" s="125">
        <f>10.7-8.9</f>
        <v>1.7999999999999989</v>
      </c>
      <c r="H2132" s="125" t="s">
        <v>10</v>
      </c>
    </row>
    <row r="2133" spans="2:8" ht="15" customHeight="1" x14ac:dyDescent="0.3">
      <c r="B2133" s="126">
        <v>45853</v>
      </c>
      <c r="C2133" s="125" t="s">
        <v>77</v>
      </c>
      <c r="D2133" s="125" t="s">
        <v>20</v>
      </c>
      <c r="E2133" s="124" t="str">
        <f>IFERROR(VLOOKUP(C2133,'Base de donnée articles'!$B$8:$C$331,2,FALSE)," ")</f>
        <v>SAU012</v>
      </c>
      <c r="F2133" s="125"/>
      <c r="G2133" s="125">
        <v>0.3</v>
      </c>
      <c r="H2133" s="125" t="s">
        <v>10</v>
      </c>
    </row>
    <row r="2134" spans="2:8" ht="15" customHeight="1" x14ac:dyDescent="0.3">
      <c r="B2134" s="126">
        <v>45853</v>
      </c>
      <c r="C2134" s="125" t="s">
        <v>73</v>
      </c>
      <c r="D2134" s="125" t="s">
        <v>71</v>
      </c>
      <c r="E2134" s="124" t="str">
        <f>IFERROR(VLOOKUP(C2134,'Base de donnée articles'!$B$8:$C$331,2,FALSE)," ")</f>
        <v>GAR007</v>
      </c>
      <c r="F2134" s="125"/>
      <c r="G2134" s="125">
        <v>2</v>
      </c>
      <c r="H2134" s="125" t="s">
        <v>10</v>
      </c>
    </row>
    <row r="2135" spans="2:8" ht="15" customHeight="1" x14ac:dyDescent="0.3">
      <c r="B2135" s="126">
        <v>45853</v>
      </c>
      <c r="C2135" s="123" t="s">
        <v>39</v>
      </c>
      <c r="D2135" s="125" t="s">
        <v>20</v>
      </c>
      <c r="E2135" s="124" t="str">
        <f>IFERROR(VLOOKUP(C2135,'Base de donnée articles'!$B$8:$C$331,2,FALSE)," ")</f>
        <v>GAR004</v>
      </c>
      <c r="F2135" s="125"/>
      <c r="G2135" s="125">
        <v>10</v>
      </c>
      <c r="H2135" s="125" t="s">
        <v>10</v>
      </c>
    </row>
    <row r="2136" spans="2:8" ht="15" customHeight="1" x14ac:dyDescent="0.3">
      <c r="B2136" s="126">
        <v>45853</v>
      </c>
      <c r="C2136" s="123" t="s">
        <v>41</v>
      </c>
      <c r="D2136" s="125" t="s">
        <v>20</v>
      </c>
      <c r="E2136" s="124" t="str">
        <f>IFERROR(VLOOKUP(C2136,'Base de donnée articles'!$B$8:$C$331,2,FALSE)," ")</f>
        <v>GAR005</v>
      </c>
      <c r="F2136" s="125"/>
      <c r="G2136" s="125">
        <v>3</v>
      </c>
      <c r="H2136" s="125" t="s">
        <v>10</v>
      </c>
    </row>
    <row r="2137" spans="2:8" ht="15" customHeight="1" x14ac:dyDescent="0.3">
      <c r="B2137" s="126">
        <v>45853</v>
      </c>
      <c r="C2137" s="125" t="s">
        <v>51</v>
      </c>
      <c r="D2137" s="125" t="s">
        <v>20</v>
      </c>
      <c r="E2137" s="124" t="str">
        <f>IFERROR(VLOOKUP(C2137,'Base de donnée articles'!$B$8:$C$331,2,FALSE)," ")</f>
        <v>SAU010</v>
      </c>
      <c r="F2137" s="125"/>
      <c r="G2137" s="125">
        <v>5</v>
      </c>
      <c r="H2137" s="125" t="s">
        <v>10</v>
      </c>
    </row>
    <row r="2138" spans="2:8" ht="15" customHeight="1" x14ac:dyDescent="0.3">
      <c r="B2138" s="126">
        <v>45853</v>
      </c>
      <c r="C2138" s="125" t="s">
        <v>68</v>
      </c>
      <c r="D2138" s="125" t="s">
        <v>12</v>
      </c>
      <c r="E2138" s="124" t="str">
        <f>IFERROR(VLOOKUP(C2138,'Base de donnée articles'!$B$8:$C$331,2,FALSE)," ")</f>
        <v>CH025</v>
      </c>
      <c r="F2138" s="125"/>
      <c r="G2138" s="125">
        <v>4</v>
      </c>
      <c r="H2138" s="125" t="s">
        <v>10</v>
      </c>
    </row>
    <row r="2139" spans="2:8" ht="15" customHeight="1" x14ac:dyDescent="0.3">
      <c r="B2139" s="126">
        <v>45853</v>
      </c>
      <c r="C2139" s="125" t="s">
        <v>61</v>
      </c>
      <c r="D2139" s="125" t="s">
        <v>20</v>
      </c>
      <c r="E2139" s="124" t="str">
        <f>IFERROR(VLOOKUP(C2139,'Base de donnée articles'!$B$8:$C$331,2,FALSE)," ")</f>
        <v>CH070</v>
      </c>
      <c r="F2139" s="125"/>
      <c r="G2139" s="125">
        <v>5</v>
      </c>
      <c r="H2139" s="125" t="s">
        <v>10</v>
      </c>
    </row>
    <row r="2140" spans="2:8" ht="15" customHeight="1" x14ac:dyDescent="0.3">
      <c r="B2140" s="126">
        <v>45853</v>
      </c>
      <c r="C2140" s="14" t="s">
        <v>110</v>
      </c>
      <c r="D2140" s="125" t="s">
        <v>12</v>
      </c>
      <c r="E2140" s="124" t="str">
        <f>IFERROR(VLOOKUP(C2140,'Base de donnée articles'!$B$8:$C$331,2,FALSE)," ")</f>
        <v>CH073</v>
      </c>
      <c r="F2140" s="125"/>
      <c r="G2140" s="125">
        <f>120-12</f>
        <v>108</v>
      </c>
      <c r="H2140" s="125" t="s">
        <v>10</v>
      </c>
    </row>
    <row r="2141" spans="2:8" ht="15" customHeight="1" x14ac:dyDescent="0.3">
      <c r="B2141" s="126">
        <v>45853</v>
      </c>
      <c r="C2141" s="8" t="s">
        <v>93</v>
      </c>
      <c r="D2141" s="125" t="s">
        <v>12</v>
      </c>
      <c r="E2141" s="124" t="str">
        <f>IFERROR(VLOOKUP(C2141,'Base de donnée articles'!$B$8:$C$331,2,FALSE)," ")</f>
        <v>CH002</v>
      </c>
      <c r="F2141" s="125"/>
      <c r="G2141" s="125">
        <v>5</v>
      </c>
      <c r="H2141" s="125" t="s">
        <v>10</v>
      </c>
    </row>
    <row r="2142" spans="2:8" ht="15" customHeight="1" x14ac:dyDescent="0.3">
      <c r="B2142" s="126">
        <v>45853</v>
      </c>
      <c r="C2142" s="125" t="s">
        <v>115</v>
      </c>
      <c r="D2142" s="125" t="s">
        <v>12</v>
      </c>
      <c r="E2142" s="124" t="str">
        <f>IFERROR(VLOOKUP(C2142,'Base de donnée articles'!$B$8:$C$331,2,FALSE)," ")</f>
        <v>KON</v>
      </c>
      <c r="F2142" s="125"/>
      <c r="G2142" s="125">
        <v>1</v>
      </c>
      <c r="H2142" s="125" t="s">
        <v>10</v>
      </c>
    </row>
    <row r="2143" spans="2:8" ht="15" customHeight="1" x14ac:dyDescent="0.3">
      <c r="B2143" s="126">
        <v>45853</v>
      </c>
      <c r="C2143" s="18" t="s">
        <v>178</v>
      </c>
      <c r="D2143" s="125" t="s">
        <v>12</v>
      </c>
      <c r="E2143" s="124" t="str">
        <f>IFERROR(VLOOKUP(C2143,'Base de donnée articles'!$B$8:$C$331,2,FALSE)," ")</f>
        <v>LAN</v>
      </c>
      <c r="F2143" s="125"/>
      <c r="G2143" s="125">
        <v>4</v>
      </c>
      <c r="H2143" s="125" t="s">
        <v>10</v>
      </c>
    </row>
    <row r="2144" spans="2:8" ht="15" customHeight="1" x14ac:dyDescent="0.3">
      <c r="B2144" s="126">
        <v>45853</v>
      </c>
      <c r="C2144" s="115" t="s">
        <v>183</v>
      </c>
      <c r="D2144" s="125" t="s">
        <v>12</v>
      </c>
      <c r="E2144" s="124" t="str">
        <f>IFERROR(VLOOKUP(C2144,'Base de donnée articles'!$B$8:$C$331,2,FALSE)," ")</f>
        <v>FAR</v>
      </c>
      <c r="F2144" s="125"/>
      <c r="G2144" s="125">
        <f>13-8</f>
        <v>5</v>
      </c>
      <c r="H2144" s="125" t="s">
        <v>10</v>
      </c>
    </row>
    <row r="2145" spans="2:8" ht="15" customHeight="1" x14ac:dyDescent="0.3">
      <c r="B2145" s="126">
        <v>45854</v>
      </c>
      <c r="C2145" s="127" t="s">
        <v>39</v>
      </c>
      <c r="D2145" s="125" t="s">
        <v>20</v>
      </c>
      <c r="E2145" s="124" t="str">
        <f>IFERROR(VLOOKUP(C2145,'Base de donnée articles'!$B$8:$C$331,2,FALSE)," ")</f>
        <v>GAR004</v>
      </c>
      <c r="F2145" s="125">
        <v>10</v>
      </c>
      <c r="G2145" s="125"/>
      <c r="H2145" s="125" t="s">
        <v>18</v>
      </c>
    </row>
    <row r="2146" spans="2:8" ht="15" customHeight="1" x14ac:dyDescent="0.3">
      <c r="B2146" s="126">
        <v>45854</v>
      </c>
      <c r="C2146" s="128" t="s">
        <v>41</v>
      </c>
      <c r="D2146" s="125" t="s">
        <v>20</v>
      </c>
      <c r="E2146" s="124" t="str">
        <f>IFERROR(VLOOKUP(C2146,'Base de donnée articles'!$B$8:$C$331,2,FALSE)," ")</f>
        <v>GAR005</v>
      </c>
      <c r="F2146" s="125">
        <v>10</v>
      </c>
      <c r="G2146" s="125"/>
      <c r="H2146" s="125" t="s">
        <v>18</v>
      </c>
    </row>
    <row r="2147" spans="2:8" ht="15" customHeight="1" x14ac:dyDescent="0.3">
      <c r="B2147" s="126">
        <v>45854</v>
      </c>
      <c r="C2147" s="125" t="s">
        <v>30</v>
      </c>
      <c r="D2147" s="125" t="s">
        <v>8</v>
      </c>
      <c r="E2147" s="124" t="str">
        <f>IFERROR(VLOOKUP(C2147,'Base de donnée articles'!$B$8:$C$331,2,FALSE)," ")</f>
        <v>PAT002</v>
      </c>
      <c r="F2147" s="125">
        <v>1</v>
      </c>
      <c r="G2147" s="125"/>
      <c r="H2147" s="125" t="s">
        <v>18</v>
      </c>
    </row>
    <row r="2148" spans="2:8" ht="15" customHeight="1" x14ac:dyDescent="0.3">
      <c r="B2148" s="126">
        <v>45854</v>
      </c>
      <c r="C2148" s="125" t="s">
        <v>7</v>
      </c>
      <c r="D2148" s="125" t="s">
        <v>8</v>
      </c>
      <c r="E2148" s="124" t="str">
        <f>IFERROR(VLOOKUP(C2148,'Base de donnée articles'!$B$8:$C$331,2,FALSE)," ")</f>
        <v>PAT004</v>
      </c>
      <c r="F2148" s="125">
        <v>1</v>
      </c>
      <c r="G2148" s="125"/>
      <c r="H2148" s="125" t="s">
        <v>18</v>
      </c>
    </row>
    <row r="2149" spans="2:8" ht="15" customHeight="1" x14ac:dyDescent="0.3">
      <c r="B2149" s="126">
        <v>45854</v>
      </c>
      <c r="C2149" s="125" t="s">
        <v>75</v>
      </c>
      <c r="D2149" s="125" t="s">
        <v>8</v>
      </c>
      <c r="E2149" s="124" t="str">
        <f>IFERROR(VLOOKUP(C2149,'Base de donnée articles'!$B$8:$C$331,2,FALSE)," ")</f>
        <v>PAT009</v>
      </c>
      <c r="F2149" s="125">
        <v>1</v>
      </c>
      <c r="G2149" s="125"/>
      <c r="H2149" s="125" t="s">
        <v>18</v>
      </c>
    </row>
    <row r="2150" spans="2:8" ht="15" customHeight="1" x14ac:dyDescent="0.3">
      <c r="B2150" s="126">
        <v>45855</v>
      </c>
      <c r="C2150" s="18" t="s">
        <v>108</v>
      </c>
      <c r="D2150" s="125" t="s">
        <v>12</v>
      </c>
      <c r="E2150" s="124" t="str">
        <f>IFERROR(VLOOKUP(C2150,'Base de donnée articles'!$B$8:$C$331,2,FALSE)," ")</f>
        <v>CIT</v>
      </c>
      <c r="F2150" s="125">
        <v>2</v>
      </c>
      <c r="G2150" s="125"/>
      <c r="H2150" s="125" t="s">
        <v>18</v>
      </c>
    </row>
    <row r="2151" spans="2:8" ht="15" customHeight="1" x14ac:dyDescent="0.3">
      <c r="B2151" s="126">
        <v>45855</v>
      </c>
      <c r="C2151" s="125" t="s">
        <v>30</v>
      </c>
      <c r="D2151" s="125" t="s">
        <v>8</v>
      </c>
      <c r="E2151" s="124" t="str">
        <f>IFERROR(VLOOKUP(C2151,'Base de donnée articles'!$B$8:$C$331,2,FALSE)," ")</f>
        <v>PAT002</v>
      </c>
      <c r="F2151" s="125"/>
      <c r="G2151" s="125">
        <v>1</v>
      </c>
      <c r="H2151" s="125" t="s">
        <v>10</v>
      </c>
    </row>
    <row r="2152" spans="2:8" ht="15" customHeight="1" x14ac:dyDescent="0.3">
      <c r="B2152" s="126">
        <v>45855</v>
      </c>
      <c r="C2152" s="125" t="s">
        <v>7</v>
      </c>
      <c r="D2152" s="125" t="s">
        <v>8</v>
      </c>
      <c r="E2152" s="124" t="str">
        <f>IFERROR(VLOOKUP(C2152,'Base de donnée articles'!$B$8:$C$331,2,FALSE)," ")</f>
        <v>PAT004</v>
      </c>
      <c r="F2152" s="125"/>
      <c r="G2152" s="125">
        <v>1</v>
      </c>
      <c r="H2152" s="125" t="s">
        <v>10</v>
      </c>
    </row>
    <row r="2153" spans="2:8" ht="15" customHeight="1" x14ac:dyDescent="0.3">
      <c r="B2153" s="126">
        <v>45855</v>
      </c>
      <c r="C2153" s="125" t="s">
        <v>75</v>
      </c>
      <c r="D2153" s="125" t="s">
        <v>8</v>
      </c>
      <c r="E2153" s="124" t="str">
        <f>IFERROR(VLOOKUP(C2153,'Base de donnée articles'!$B$8:$C$331,2,FALSE)," ")</f>
        <v>PAT009</v>
      </c>
      <c r="F2153" s="125"/>
      <c r="G2153" s="125">
        <v>1</v>
      </c>
      <c r="H2153" s="125" t="s">
        <v>10</v>
      </c>
    </row>
    <row r="2154" spans="2:8" ht="15" customHeight="1" x14ac:dyDescent="0.3">
      <c r="B2154" s="126">
        <v>45855</v>
      </c>
      <c r="C2154" s="125" t="s">
        <v>28</v>
      </c>
      <c r="D2154" s="125" t="s">
        <v>8</v>
      </c>
      <c r="E2154" s="124" t="str">
        <f>IFERROR(VLOOKUP(C2154,'Base de donnée articles'!$B$8:$C$331,2,FALSE)," ")</f>
        <v>PAT003</v>
      </c>
      <c r="F2154" s="125">
        <v>2</v>
      </c>
      <c r="G2154" s="125"/>
      <c r="H2154" s="125" t="s">
        <v>18</v>
      </c>
    </row>
    <row r="2155" spans="2:8" ht="15" customHeight="1" x14ac:dyDescent="0.3">
      <c r="B2155" s="126">
        <v>45855</v>
      </c>
      <c r="C2155" s="125" t="s">
        <v>7</v>
      </c>
      <c r="D2155" s="125" t="s">
        <v>8</v>
      </c>
      <c r="E2155" s="124" t="str">
        <f>IFERROR(VLOOKUP(C2155,'Base de donnée articles'!$B$8:$C$331,2,FALSE)," ")</f>
        <v>PAT004</v>
      </c>
      <c r="F2155" s="125">
        <v>1</v>
      </c>
      <c r="G2155" s="125"/>
      <c r="H2155" s="125" t="s">
        <v>18</v>
      </c>
    </row>
    <row r="2156" spans="2:8" ht="15" customHeight="1" x14ac:dyDescent="0.3">
      <c r="B2156" s="126">
        <v>45855</v>
      </c>
      <c r="C2156" s="125" t="s">
        <v>28</v>
      </c>
      <c r="D2156" s="125" t="s">
        <v>8</v>
      </c>
      <c r="E2156" s="124" t="str">
        <f>IFERROR(VLOOKUP(C2156,'Base de donnée articles'!$B$8:$C$331,2,FALSE)," ")</f>
        <v>PAT003</v>
      </c>
      <c r="F2156" s="125"/>
      <c r="G2156" s="125">
        <v>1</v>
      </c>
      <c r="H2156" s="125" t="s">
        <v>10</v>
      </c>
    </row>
    <row r="2157" spans="2:8" ht="15" customHeight="1" x14ac:dyDescent="0.3">
      <c r="B2157" s="126">
        <v>45855</v>
      </c>
      <c r="C2157" s="125" t="s">
        <v>7</v>
      </c>
      <c r="D2157" s="125" t="s">
        <v>8</v>
      </c>
      <c r="E2157" s="124" t="str">
        <f>IFERROR(VLOOKUP(C2157,'Base de donnée articles'!$B$8:$C$331,2,FALSE)," ")</f>
        <v>PAT004</v>
      </c>
      <c r="F2157" s="125"/>
      <c r="G2157" s="125">
        <v>1</v>
      </c>
      <c r="H2157" s="125" t="s">
        <v>10</v>
      </c>
    </row>
    <row r="2158" spans="2:8" ht="15" customHeight="1" x14ac:dyDescent="0.3">
      <c r="B2158" s="126">
        <v>45855</v>
      </c>
      <c r="C2158" s="128" t="s">
        <v>41</v>
      </c>
      <c r="D2158" s="125" t="s">
        <v>20</v>
      </c>
      <c r="E2158" s="124" t="str">
        <f>IFERROR(VLOOKUP(C2158,'Base de donnée articles'!$B$8:$C$331,2,FALSE)," ")</f>
        <v>GAR005</v>
      </c>
      <c r="F2158" s="125"/>
      <c r="G2158" s="125">
        <v>7</v>
      </c>
      <c r="H2158" s="125" t="s">
        <v>10</v>
      </c>
    </row>
    <row r="2159" spans="2:8" ht="15" customHeight="1" x14ac:dyDescent="0.3">
      <c r="B2159" s="126">
        <v>45855</v>
      </c>
      <c r="C2159" s="8" t="s">
        <v>93</v>
      </c>
      <c r="D2159" s="125" t="s">
        <v>12</v>
      </c>
      <c r="E2159" s="124" t="str">
        <f>IFERROR(VLOOKUP(C2159,'Base de donnée articles'!$B$8:$C$331,2,FALSE)," ")</f>
        <v>CH002</v>
      </c>
      <c r="F2159" s="125"/>
      <c r="G2159" s="125">
        <f>60-52</f>
        <v>8</v>
      </c>
      <c r="H2159" s="125" t="s">
        <v>10</v>
      </c>
    </row>
    <row r="2160" spans="2:8" ht="15" customHeight="1" x14ac:dyDescent="0.3">
      <c r="B2160" s="126">
        <v>45855</v>
      </c>
      <c r="C2160" s="125" t="s">
        <v>68</v>
      </c>
      <c r="D2160" s="125" t="s">
        <v>12</v>
      </c>
      <c r="E2160" s="124" t="str">
        <f>IFERROR(VLOOKUP(C2160,'Base de donnée articles'!$B$8:$C$331,2,FALSE)," ")</f>
        <v>CH025</v>
      </c>
      <c r="F2160" s="125"/>
      <c r="G2160" s="125">
        <v>4</v>
      </c>
      <c r="H2160" s="125" t="s">
        <v>10</v>
      </c>
    </row>
    <row r="2161" spans="2:8" ht="15" customHeight="1" x14ac:dyDescent="0.3">
      <c r="B2161" s="126">
        <v>45855</v>
      </c>
      <c r="C2161" s="18" t="s">
        <v>108</v>
      </c>
      <c r="D2161" s="125" t="s">
        <v>12</v>
      </c>
      <c r="E2161" s="124" t="str">
        <f>IFERROR(VLOOKUP(C2161,'Base de donnée articles'!$B$8:$C$331,2,FALSE)," ")</f>
        <v>CIT</v>
      </c>
      <c r="F2161" s="125"/>
      <c r="G2161" s="125">
        <v>2</v>
      </c>
      <c r="H2161" s="125" t="s">
        <v>10</v>
      </c>
    </row>
    <row r="2162" spans="2:8" ht="15" customHeight="1" x14ac:dyDescent="0.3">
      <c r="B2162" s="126">
        <v>45857</v>
      </c>
      <c r="C2162" s="127" t="s">
        <v>39</v>
      </c>
      <c r="D2162" s="125" t="s">
        <v>20</v>
      </c>
      <c r="E2162" s="124" t="str">
        <f>IFERROR(VLOOKUP(C2162,'Base de donnée articles'!$B$8:$C$331,2,FALSE)," ")</f>
        <v>GAR004</v>
      </c>
      <c r="F2162" s="125">
        <v>11.5</v>
      </c>
      <c r="G2162" s="125"/>
      <c r="H2162" s="125" t="s">
        <v>18</v>
      </c>
    </row>
    <row r="2163" spans="2:8" ht="15" customHeight="1" x14ac:dyDescent="0.3">
      <c r="B2163" s="126">
        <v>45857</v>
      </c>
      <c r="C2163" s="128" t="s">
        <v>41</v>
      </c>
      <c r="D2163" s="125" t="s">
        <v>20</v>
      </c>
      <c r="E2163" s="124" t="str">
        <f>IFERROR(VLOOKUP(C2163,'Base de donnée articles'!$B$8:$C$331,2,FALSE)," ")</f>
        <v>GAR005</v>
      </c>
      <c r="F2163" s="125">
        <v>11.5</v>
      </c>
      <c r="G2163" s="125"/>
      <c r="H2163" s="125" t="s">
        <v>18</v>
      </c>
    </row>
    <row r="2164" spans="2:8" ht="15" customHeight="1" x14ac:dyDescent="0.3">
      <c r="B2164" s="126">
        <v>45857</v>
      </c>
      <c r="C2164" s="125" t="s">
        <v>28</v>
      </c>
      <c r="D2164" s="125" t="s">
        <v>8</v>
      </c>
      <c r="E2164" s="124" t="str">
        <f>IFERROR(VLOOKUP(C2164,'Base de donnée articles'!$B$8:$C$331,2,FALSE)," ")</f>
        <v>PAT003</v>
      </c>
      <c r="F2164" s="125">
        <v>3</v>
      </c>
      <c r="G2164" s="125"/>
      <c r="H2164" s="125" t="s">
        <v>18</v>
      </c>
    </row>
    <row r="2165" spans="2:8" ht="15" customHeight="1" x14ac:dyDescent="0.3">
      <c r="B2165" s="126">
        <v>45857</v>
      </c>
      <c r="C2165" s="125" t="s">
        <v>7</v>
      </c>
      <c r="D2165" s="125" t="s">
        <v>8</v>
      </c>
      <c r="E2165" s="124" t="str">
        <f>IFERROR(VLOOKUP(C2165,'Base de donnée articles'!$B$8:$C$331,2,FALSE)," ")</f>
        <v>PAT004</v>
      </c>
      <c r="F2165" s="125">
        <v>3</v>
      </c>
      <c r="G2165" s="125"/>
      <c r="H2165" s="125" t="s">
        <v>18</v>
      </c>
    </row>
    <row r="2166" spans="2:8" ht="15" customHeight="1" x14ac:dyDescent="0.3">
      <c r="B2166" s="126">
        <v>45857</v>
      </c>
      <c r="C2166" s="125" t="s">
        <v>30</v>
      </c>
      <c r="D2166" s="125" t="s">
        <v>8</v>
      </c>
      <c r="E2166" s="124" t="str">
        <f>IFERROR(VLOOKUP(C2166,'Base de donnée articles'!$B$8:$C$331,2,FALSE)," ")</f>
        <v>PAT002</v>
      </c>
      <c r="F2166" s="125">
        <v>1</v>
      </c>
      <c r="G2166" s="125"/>
      <c r="H2166" s="125" t="s">
        <v>18</v>
      </c>
    </row>
    <row r="2167" spans="2:8" ht="15" customHeight="1" x14ac:dyDescent="0.3">
      <c r="B2167" s="126">
        <v>45857</v>
      </c>
      <c r="C2167" s="125" t="s">
        <v>28</v>
      </c>
      <c r="D2167" s="125" t="s">
        <v>8</v>
      </c>
      <c r="E2167" s="124" t="str">
        <f>IFERROR(VLOOKUP(C2167,'Base de donnée articles'!$B$8:$C$331,2,FALSE)," ")</f>
        <v>PAT003</v>
      </c>
      <c r="F2167" s="125"/>
      <c r="G2167" s="125">
        <v>1</v>
      </c>
      <c r="H2167" s="125" t="s">
        <v>10</v>
      </c>
    </row>
    <row r="2168" spans="2:8" ht="15" customHeight="1" x14ac:dyDescent="0.3">
      <c r="B2168" s="126">
        <v>45857</v>
      </c>
      <c r="C2168" s="125" t="s">
        <v>7</v>
      </c>
      <c r="D2168" s="125" t="s">
        <v>8</v>
      </c>
      <c r="E2168" s="124" t="str">
        <f>IFERROR(VLOOKUP(C2168,'Base de donnée articles'!$B$8:$C$331,2,FALSE)," ")</f>
        <v>PAT004</v>
      </c>
      <c r="F2168" s="125"/>
      <c r="G2168" s="125">
        <v>2</v>
      </c>
      <c r="H2168" s="125" t="s">
        <v>10</v>
      </c>
    </row>
    <row r="2169" spans="2:8" ht="15" customHeight="1" x14ac:dyDescent="0.3">
      <c r="B2169" s="126">
        <v>45859</v>
      </c>
      <c r="C2169" s="125" t="s">
        <v>73</v>
      </c>
      <c r="D2169" s="125" t="s">
        <v>71</v>
      </c>
      <c r="E2169" s="124" t="str">
        <f>IFERROR(VLOOKUP(C2169,'Base de donnée articles'!$B$8:$C$331,2,FALSE)," ")</f>
        <v>GAR007</v>
      </c>
      <c r="F2169" s="125"/>
      <c r="G2169" s="125">
        <v>1</v>
      </c>
      <c r="H2169" s="125" t="s">
        <v>10</v>
      </c>
    </row>
    <row r="2170" spans="2:8" ht="15" customHeight="1" x14ac:dyDescent="0.3">
      <c r="B2170" s="126">
        <v>45859</v>
      </c>
      <c r="C2170" s="125" t="s">
        <v>80</v>
      </c>
      <c r="D2170" s="125" t="s">
        <v>71</v>
      </c>
      <c r="E2170" s="124" t="str">
        <f>IFERROR(VLOOKUP(C2170,'Base de donnée articles'!$B$8:$C$331,2,FALSE)," ")</f>
        <v>GAR011</v>
      </c>
      <c r="F2170" s="125"/>
      <c r="G2170" s="125">
        <v>1</v>
      </c>
      <c r="H2170" s="125" t="s">
        <v>10</v>
      </c>
    </row>
    <row r="2171" spans="2:8" ht="15" customHeight="1" x14ac:dyDescent="0.3">
      <c r="B2171" s="126">
        <v>45859</v>
      </c>
      <c r="C2171" s="125" t="s">
        <v>70</v>
      </c>
      <c r="D2171" s="125" t="s">
        <v>71</v>
      </c>
      <c r="E2171" s="124" t="str">
        <f>IFERROR(VLOOKUP(C2171,'Base de donnée articles'!$B$8:$C$331,2,FALSE)," ")</f>
        <v>GAR014</v>
      </c>
      <c r="F2171" s="125"/>
      <c r="G2171" s="125">
        <v>1</v>
      </c>
      <c r="H2171" s="125" t="s">
        <v>10</v>
      </c>
    </row>
    <row r="2172" spans="2:8" ht="15" customHeight="1" x14ac:dyDescent="0.3">
      <c r="B2172" s="126">
        <v>45859</v>
      </c>
      <c r="C2172" s="125" t="s">
        <v>61</v>
      </c>
      <c r="D2172" s="125" t="s">
        <v>20</v>
      </c>
      <c r="E2172" s="124" t="str">
        <f>IFERROR(VLOOKUP(C2172,'Base de donnée articles'!$B$8:$C$331,2,FALSE)," ")</f>
        <v>CH070</v>
      </c>
      <c r="F2172" s="125"/>
      <c r="G2172" s="125">
        <v>5</v>
      </c>
      <c r="H2172" s="125" t="s">
        <v>10</v>
      </c>
    </row>
    <row r="2173" spans="2:8" ht="15" customHeight="1" x14ac:dyDescent="0.3">
      <c r="B2173" s="126">
        <v>45859</v>
      </c>
      <c r="C2173" s="125" t="s">
        <v>126</v>
      </c>
      <c r="D2173" s="125" t="s">
        <v>12</v>
      </c>
      <c r="E2173" s="124" t="str">
        <f>IFERROR(VLOOKUP(C2173,'Base de donnée articles'!$B$8:$C$331,2,FALSE)," ")</f>
        <v>CH071</v>
      </c>
      <c r="F2173" s="125"/>
      <c r="G2173" s="125">
        <v>18</v>
      </c>
      <c r="H2173" s="125" t="s">
        <v>10</v>
      </c>
    </row>
    <row r="2174" spans="2:8" ht="15" customHeight="1" x14ac:dyDescent="0.3">
      <c r="B2174" s="126">
        <v>45859</v>
      </c>
      <c r="C2174" s="125" t="s">
        <v>110</v>
      </c>
      <c r="D2174" s="125" t="s">
        <v>12</v>
      </c>
      <c r="E2174" s="124" t="str">
        <f>IFERROR(VLOOKUP(C2174,'Base de donnée articles'!$B$8:$C$331,2,FALSE)," ")</f>
        <v>CH073</v>
      </c>
      <c r="F2174" s="125"/>
      <c r="G2174" s="125">
        <v>12</v>
      </c>
      <c r="H2174" s="125" t="s">
        <v>10</v>
      </c>
    </row>
    <row r="2175" spans="2:8" ht="15" customHeight="1" x14ac:dyDescent="0.3">
      <c r="B2175" s="126">
        <v>45859</v>
      </c>
      <c r="C2175" s="125" t="s">
        <v>115</v>
      </c>
      <c r="D2175" s="125" t="s">
        <v>12</v>
      </c>
      <c r="E2175" s="124" t="str">
        <f>IFERROR(VLOOKUP(C2175,'Base de donnée articles'!$B$8:$C$331,2,FALSE)," ")</f>
        <v>KON</v>
      </c>
      <c r="F2175" s="125"/>
      <c r="G2175" s="125">
        <v>1</v>
      </c>
      <c r="H2175" s="125" t="s">
        <v>10</v>
      </c>
    </row>
    <row r="2176" spans="2:8" ht="15" customHeight="1" x14ac:dyDescent="0.3">
      <c r="B2176" s="126">
        <v>45859</v>
      </c>
      <c r="C2176" s="125" t="s">
        <v>178</v>
      </c>
      <c r="D2176" s="125" t="s">
        <v>12</v>
      </c>
      <c r="E2176" s="124" t="str">
        <f>IFERROR(VLOOKUP(C2176,'Base de donnée articles'!$B$8:$C$331,2,FALSE)," ")</f>
        <v>LAN</v>
      </c>
      <c r="F2176" s="125"/>
      <c r="G2176" s="125">
        <v>3</v>
      </c>
      <c r="H2176" s="125" t="s">
        <v>10</v>
      </c>
    </row>
    <row r="2177" spans="2:8" ht="15" customHeight="1" x14ac:dyDescent="0.3">
      <c r="B2177" s="126">
        <v>45859</v>
      </c>
      <c r="C2177" s="125" t="s">
        <v>183</v>
      </c>
      <c r="D2177" s="125" t="s">
        <v>20</v>
      </c>
      <c r="E2177" s="124" t="str">
        <f>IFERROR(VLOOKUP(C2177,'Base de donnée articles'!$B$8:$C$331,2,FALSE)," ")</f>
        <v>FAR</v>
      </c>
      <c r="F2177" s="125"/>
      <c r="G2177" s="125">
        <v>2</v>
      </c>
      <c r="H2177" s="125" t="s">
        <v>10</v>
      </c>
    </row>
    <row r="2178" spans="2:8" ht="15" customHeight="1" x14ac:dyDescent="0.3">
      <c r="B2178" s="126">
        <v>45859</v>
      </c>
      <c r="C2178" s="125" t="s">
        <v>187</v>
      </c>
      <c r="D2178" s="125" t="s">
        <v>20</v>
      </c>
      <c r="E2178" s="124" t="str">
        <f>IFERROR(VLOOKUP(C2178,'Base de donnée articles'!$B$8:$C$331,2,FALSE)," ")</f>
        <v>SEL</v>
      </c>
      <c r="F2178" s="125">
        <v>12</v>
      </c>
      <c r="G2178" s="125"/>
      <c r="H2178" s="125" t="s">
        <v>18</v>
      </c>
    </row>
    <row r="2179" spans="2:8" ht="15" customHeight="1" x14ac:dyDescent="0.3">
      <c r="B2179" s="126">
        <v>45859</v>
      </c>
      <c r="C2179" s="125" t="s">
        <v>30</v>
      </c>
      <c r="D2179" s="125" t="s">
        <v>8</v>
      </c>
      <c r="E2179" s="124" t="str">
        <f>IFERROR(VLOOKUP(C2179,'Base de donnée articles'!$B$8:$C$331,2,FALSE)," ")</f>
        <v>PAT002</v>
      </c>
      <c r="F2179" s="125">
        <v>1</v>
      </c>
      <c r="G2179" s="125"/>
      <c r="H2179" s="125" t="s">
        <v>18</v>
      </c>
    </row>
    <row r="2180" spans="2:8" ht="15" customHeight="1" x14ac:dyDescent="0.3">
      <c r="B2180" s="126">
        <v>45861</v>
      </c>
      <c r="C2180" s="125" t="s">
        <v>30</v>
      </c>
      <c r="D2180" s="125" t="s">
        <v>8</v>
      </c>
      <c r="E2180" s="124" t="str">
        <f>IFERROR(VLOOKUP(C2180,'Base de donnée articles'!$B$8:$C$331,2,FALSE)," ")</f>
        <v>PAT002</v>
      </c>
      <c r="F2180" s="125"/>
      <c r="G2180" s="125">
        <v>2</v>
      </c>
      <c r="H2180" s="125" t="s">
        <v>10</v>
      </c>
    </row>
    <row r="2181" spans="2:8" ht="15" customHeight="1" x14ac:dyDescent="0.3">
      <c r="B2181" s="126">
        <v>45861</v>
      </c>
      <c r="C2181" s="125" t="s">
        <v>28</v>
      </c>
      <c r="D2181" s="125" t="s">
        <v>8</v>
      </c>
      <c r="E2181" s="124" t="str">
        <f>IFERROR(VLOOKUP(C2181,'Base de donnée articles'!$B$8:$C$331,2,FALSE)," ")</f>
        <v>PAT003</v>
      </c>
      <c r="F2181" s="125"/>
      <c r="G2181" s="125">
        <v>2</v>
      </c>
      <c r="H2181" s="125" t="s">
        <v>10</v>
      </c>
    </row>
    <row r="2182" spans="2:8" ht="15" customHeight="1" x14ac:dyDescent="0.3">
      <c r="B2182" s="126">
        <v>45861</v>
      </c>
      <c r="C2182" s="125" t="s">
        <v>7</v>
      </c>
      <c r="D2182" s="125" t="s">
        <v>8</v>
      </c>
      <c r="E2182" s="124" t="str">
        <f>IFERROR(VLOOKUP(C2182,'Base de donnée articles'!$B$8:$C$331,2,FALSE)," ")</f>
        <v>PAT004</v>
      </c>
      <c r="F2182" s="125"/>
      <c r="G2182" s="125">
        <v>2</v>
      </c>
      <c r="H2182" s="125" t="s">
        <v>10</v>
      </c>
    </row>
    <row r="2183" spans="2:8" ht="15" customHeight="1" x14ac:dyDescent="0.3">
      <c r="B2183" s="126">
        <v>45862</v>
      </c>
      <c r="C2183" s="125" t="s">
        <v>183</v>
      </c>
      <c r="D2183" s="125" t="s">
        <v>20</v>
      </c>
      <c r="E2183" s="124" t="str">
        <f>IFERROR(VLOOKUP(C2183,'Base de donnée articles'!$B$8:$C$331,2,FALSE)," ")</f>
        <v>FAR</v>
      </c>
      <c r="F2183" s="125">
        <v>20</v>
      </c>
      <c r="G2183" s="125"/>
      <c r="H2183" s="125" t="s">
        <v>18</v>
      </c>
    </row>
    <row r="2184" spans="2:8" ht="15" customHeight="1" x14ac:dyDescent="0.3">
      <c r="B2184" s="126">
        <v>45862</v>
      </c>
      <c r="C2184" s="26" t="s">
        <v>172</v>
      </c>
      <c r="D2184" s="25" t="s">
        <v>160</v>
      </c>
      <c r="E2184" s="124" t="str">
        <f>IFERROR(VLOOKUP(C2184,'Base de donnée articles'!$B$8:$C$331,2,FALSE)," ")</f>
        <v>EMB005</v>
      </c>
      <c r="F2184" s="125">
        <v>1</v>
      </c>
      <c r="G2184" s="125"/>
      <c r="H2184" s="125" t="s">
        <v>18</v>
      </c>
    </row>
    <row r="2185" spans="2:8" ht="15" customHeight="1" x14ac:dyDescent="0.3">
      <c r="B2185" s="126">
        <v>45862</v>
      </c>
      <c r="C2185" s="26" t="s">
        <v>95</v>
      </c>
      <c r="D2185" s="125" t="s">
        <v>12</v>
      </c>
      <c r="E2185" s="124" t="str">
        <f>IFERROR(VLOOKUP(C2185,'Base de donnée articles'!$B$8:$C$331,2,FALSE)," ")</f>
        <v>FRT006</v>
      </c>
      <c r="F2185" s="125">
        <f>30*3</f>
        <v>90</v>
      </c>
      <c r="G2185" s="125"/>
      <c r="H2185" s="125" t="s">
        <v>18</v>
      </c>
    </row>
    <row r="2186" spans="2:8" ht="15" customHeight="1" x14ac:dyDescent="0.3">
      <c r="B2186" s="126">
        <v>45862</v>
      </c>
      <c r="C2186" s="18" t="s">
        <v>178</v>
      </c>
      <c r="D2186" s="125" t="s">
        <v>12</v>
      </c>
      <c r="E2186" s="124" t="str">
        <f>IFERROR(VLOOKUP(C2186,'Base de donnée articles'!$B$8:$C$331,2,FALSE)," ")</f>
        <v>LAN</v>
      </c>
      <c r="F2186" s="125">
        <v>8</v>
      </c>
      <c r="G2186" s="125"/>
      <c r="H2186" s="125" t="s">
        <v>18</v>
      </c>
    </row>
    <row r="2187" spans="2:8" ht="15" customHeight="1" x14ac:dyDescent="0.3">
      <c r="B2187" s="126">
        <v>45862</v>
      </c>
      <c r="C2187" s="18" t="s">
        <v>117</v>
      </c>
      <c r="D2187" s="125" t="s">
        <v>160</v>
      </c>
      <c r="E2187" s="124" t="str">
        <f>IFERROR(VLOOKUP(C2187,'Base de donnée articles'!$B$8:$C$331,2,FALSE)," ")</f>
        <v>KET</v>
      </c>
      <c r="F2187" s="125">
        <v>1</v>
      </c>
      <c r="G2187" s="125"/>
      <c r="H2187" s="125" t="s">
        <v>18</v>
      </c>
    </row>
    <row r="2188" spans="2:8" ht="15" customHeight="1" x14ac:dyDescent="0.3">
      <c r="B2188" s="126">
        <v>45862</v>
      </c>
      <c r="C2188" s="18" t="s">
        <v>32</v>
      </c>
      <c r="D2188" s="125" t="s">
        <v>160</v>
      </c>
      <c r="E2188" s="124" t="str">
        <f>IFERROR(VLOOKUP(C2188,'Base de donnée articles'!$B$8:$C$331,2,FALSE)," ")</f>
        <v>MAY</v>
      </c>
      <c r="F2188" s="125">
        <v>1</v>
      </c>
      <c r="G2188" s="125"/>
      <c r="H2188" s="125" t="s">
        <v>18</v>
      </c>
    </row>
    <row r="2189" spans="2:8" ht="15" customHeight="1" x14ac:dyDescent="0.3">
      <c r="B2189" s="126">
        <v>45862</v>
      </c>
      <c r="C2189" s="125" t="s">
        <v>75</v>
      </c>
      <c r="D2189" s="125" t="s">
        <v>8</v>
      </c>
      <c r="E2189" s="124" t="str">
        <f>IFERROR(VLOOKUP(C2189,'Base de donnée articles'!$B$8:$C$331,2,FALSE)," ")</f>
        <v>PAT009</v>
      </c>
      <c r="F2189" s="125">
        <v>1</v>
      </c>
      <c r="G2189" s="125"/>
      <c r="H2189" s="125" t="s">
        <v>18</v>
      </c>
    </row>
    <row r="2190" spans="2:8" ht="15" customHeight="1" x14ac:dyDescent="0.3">
      <c r="B2190" s="126">
        <v>45862</v>
      </c>
      <c r="C2190" s="26" t="s">
        <v>101</v>
      </c>
      <c r="D2190" s="125" t="s">
        <v>8</v>
      </c>
      <c r="E2190" s="124" t="str">
        <f>IFERROR(VLOOKUP(C2190,'Base de donnée articles'!$B$8:$C$331,2,FALSE)," ")</f>
        <v>PA011</v>
      </c>
      <c r="F2190" s="125">
        <v>1</v>
      </c>
      <c r="G2190" s="125"/>
      <c r="H2190" s="125" t="s">
        <v>18</v>
      </c>
    </row>
    <row r="2191" spans="2:8" ht="15" customHeight="1" x14ac:dyDescent="0.3">
      <c r="B2191" s="126">
        <v>45862</v>
      </c>
      <c r="C2191" s="125" t="s">
        <v>30</v>
      </c>
      <c r="D2191" s="125" t="s">
        <v>8</v>
      </c>
      <c r="E2191" s="124" t="str">
        <f>IFERROR(VLOOKUP(C2191,'Base de donnée articles'!$B$8:$C$331,2,FALSE)," ")</f>
        <v>PAT002</v>
      </c>
      <c r="F2191" s="125">
        <v>1</v>
      </c>
      <c r="G2191" s="125"/>
      <c r="H2191" s="125" t="s">
        <v>18</v>
      </c>
    </row>
    <row r="2192" spans="2:8" ht="15" customHeight="1" x14ac:dyDescent="0.3">
      <c r="B2192" s="126">
        <v>45862</v>
      </c>
      <c r="C2192" s="125" t="s">
        <v>30</v>
      </c>
      <c r="D2192" s="125" t="s">
        <v>8</v>
      </c>
      <c r="E2192" s="124" t="str">
        <f>IFERROR(VLOOKUP(C2192,'Base de donnée articles'!$B$8:$C$331,2,FALSE)," ")</f>
        <v>PAT002</v>
      </c>
      <c r="F2192" s="125">
        <v>2</v>
      </c>
      <c r="G2192" s="125"/>
      <c r="H2192" s="125" t="s">
        <v>18</v>
      </c>
    </row>
    <row r="2193" spans="2:8" ht="15" customHeight="1" x14ac:dyDescent="0.3">
      <c r="B2193" s="126">
        <v>45862</v>
      </c>
      <c r="C2193" s="125" t="s">
        <v>28</v>
      </c>
      <c r="D2193" s="125" t="s">
        <v>8</v>
      </c>
      <c r="E2193" s="124" t="str">
        <f>IFERROR(VLOOKUP(C2193,'Base de donnée articles'!$B$8:$C$331,2,FALSE)," ")</f>
        <v>PAT003</v>
      </c>
      <c r="F2193" s="125">
        <v>2</v>
      </c>
      <c r="G2193" s="125"/>
      <c r="H2193" s="125" t="s">
        <v>18</v>
      </c>
    </row>
    <row r="2194" spans="2:8" ht="15" customHeight="1" x14ac:dyDescent="0.3">
      <c r="B2194" s="126">
        <v>45862</v>
      </c>
      <c r="C2194" s="125" t="s">
        <v>7</v>
      </c>
      <c r="D2194" s="125" t="s">
        <v>8</v>
      </c>
      <c r="E2194" s="124" t="str">
        <f>IFERROR(VLOOKUP(C2194,'Base de donnée articles'!$B$8:$C$331,2,FALSE)," ")</f>
        <v>PAT004</v>
      </c>
      <c r="F2194" s="125">
        <v>3</v>
      </c>
      <c r="G2194" s="125"/>
      <c r="H2194" s="125" t="s">
        <v>18</v>
      </c>
    </row>
    <row r="2195" spans="2:8" ht="15" customHeight="1" x14ac:dyDescent="0.3">
      <c r="B2195" s="126">
        <v>45862</v>
      </c>
      <c r="C2195" s="125" t="s">
        <v>75</v>
      </c>
      <c r="D2195" s="125" t="s">
        <v>8</v>
      </c>
      <c r="E2195" s="124" t="str">
        <f>IFERROR(VLOOKUP(C2195,'Base de donnée articles'!$B$8:$C$331,2,FALSE)," ")</f>
        <v>PAT009</v>
      </c>
      <c r="F2195" s="125">
        <v>1</v>
      </c>
      <c r="G2195" s="125"/>
      <c r="H2195" s="125" t="s">
        <v>18</v>
      </c>
    </row>
    <row r="2196" spans="2:8" ht="15" customHeight="1" x14ac:dyDescent="0.3">
      <c r="B2196" s="126">
        <v>45862</v>
      </c>
      <c r="C2196" s="125" t="s">
        <v>30</v>
      </c>
      <c r="D2196" s="125" t="s">
        <v>8</v>
      </c>
      <c r="E2196" s="124" t="str">
        <f>IFERROR(VLOOKUP(C2196,'Base de donnée articles'!$B$8:$C$331,2,FALSE)," ")</f>
        <v>PAT002</v>
      </c>
      <c r="F2196" s="125"/>
      <c r="G2196" s="125">
        <v>1</v>
      </c>
      <c r="H2196" s="125" t="s">
        <v>10</v>
      </c>
    </row>
    <row r="2197" spans="2:8" ht="15" customHeight="1" x14ac:dyDescent="0.3">
      <c r="B2197" s="126">
        <v>45862</v>
      </c>
      <c r="C2197" s="125" t="s">
        <v>28</v>
      </c>
      <c r="D2197" s="125" t="s">
        <v>8</v>
      </c>
      <c r="E2197" s="124" t="str">
        <f>IFERROR(VLOOKUP(C2197,'Base de donnée articles'!$B$8:$C$331,2,FALSE)," ")</f>
        <v>PAT003</v>
      </c>
      <c r="F2197" s="125">
        <v>1</v>
      </c>
      <c r="G2197" s="125"/>
      <c r="H2197" s="125" t="s">
        <v>18</v>
      </c>
    </row>
    <row r="2198" spans="2:8" ht="15" customHeight="1" x14ac:dyDescent="0.3">
      <c r="B2198" s="126">
        <v>45862</v>
      </c>
      <c r="C2198" s="125" t="s">
        <v>75</v>
      </c>
      <c r="D2198" s="125" t="s">
        <v>8</v>
      </c>
      <c r="E2198" s="124" t="str">
        <f>IFERROR(VLOOKUP(C2198,'Base de donnée articles'!$B$8:$C$331,2,FALSE)," ")</f>
        <v>PAT009</v>
      </c>
      <c r="F2198" s="125"/>
      <c r="G2198" s="125">
        <v>1</v>
      </c>
      <c r="H2198" s="125" t="s">
        <v>10</v>
      </c>
    </row>
    <row r="2199" spans="2:8" ht="15" customHeight="1" x14ac:dyDescent="0.3">
      <c r="B2199" s="126">
        <v>45862</v>
      </c>
      <c r="C2199" s="125" t="s">
        <v>43</v>
      </c>
      <c r="D2199" s="125" t="s">
        <v>20</v>
      </c>
      <c r="E2199" s="124" t="str">
        <f>IFERROR(VLOOKUP(C2199,'Base de donnée articles'!$B$8:$C$331,2,FALSE)," ")</f>
        <v>SAU011</v>
      </c>
      <c r="F2199" s="125"/>
      <c r="G2199" s="125">
        <v>1.9</v>
      </c>
      <c r="H2199" s="125" t="s">
        <v>10</v>
      </c>
    </row>
    <row r="2200" spans="2:8" ht="15" customHeight="1" x14ac:dyDescent="0.3">
      <c r="B2200" s="126">
        <v>45862</v>
      </c>
      <c r="C2200" s="125" t="s">
        <v>77</v>
      </c>
      <c r="D2200" s="125" t="s">
        <v>20</v>
      </c>
      <c r="E2200" s="124" t="str">
        <f>IFERROR(VLOOKUP(C2200,'Base de donnée articles'!$B$8:$C$331,2,FALSE)," ")</f>
        <v>SAU012</v>
      </c>
      <c r="F2200" s="125">
        <v>0.38</v>
      </c>
      <c r="G2200" s="125">
        <v>0</v>
      </c>
      <c r="H2200" s="125" t="s">
        <v>18</v>
      </c>
    </row>
    <row r="2201" spans="2:8" ht="15" customHeight="1" x14ac:dyDescent="0.3">
      <c r="B2201" s="126">
        <v>45862</v>
      </c>
      <c r="C2201" s="125" t="s">
        <v>39</v>
      </c>
      <c r="D2201" s="125" t="s">
        <v>20</v>
      </c>
      <c r="E2201" s="124" t="str">
        <f>IFERROR(VLOOKUP(C2201,'Base de donnée articles'!$B$8:$C$331,2,FALSE)," ")</f>
        <v>GAR004</v>
      </c>
      <c r="F2201" s="125"/>
      <c r="G2201" s="125">
        <v>17.5</v>
      </c>
      <c r="H2201" s="125" t="s">
        <v>10</v>
      </c>
    </row>
    <row r="2202" spans="2:8" ht="15" customHeight="1" x14ac:dyDescent="0.3">
      <c r="B2202" s="126">
        <v>45862</v>
      </c>
      <c r="C2202" s="125" t="s">
        <v>41</v>
      </c>
      <c r="D2202" s="125" t="s">
        <v>20</v>
      </c>
      <c r="E2202" s="124" t="str">
        <f>IFERROR(VLOOKUP(C2202,'Base de donnée articles'!$B$8:$C$331,2,FALSE)," ")</f>
        <v>GAR005</v>
      </c>
      <c r="F2202" s="125"/>
      <c r="G2202" s="125">
        <v>20.5</v>
      </c>
      <c r="H2202" s="125" t="s">
        <v>10</v>
      </c>
    </row>
    <row r="2203" spans="2:8" ht="15" customHeight="1" x14ac:dyDescent="0.3">
      <c r="B2203" s="126">
        <v>45862</v>
      </c>
      <c r="C2203" s="125" t="s">
        <v>55</v>
      </c>
      <c r="D2203" s="125" t="s">
        <v>12</v>
      </c>
      <c r="E2203" s="124" t="str">
        <f>IFERROR(VLOOKUP(C2203,'Base de donnée articles'!$B$8:$C$331,2,FALSE)," ")</f>
        <v>CH001</v>
      </c>
      <c r="F2203" s="125">
        <v>150</v>
      </c>
      <c r="G2203" s="125"/>
      <c r="H2203" s="125" t="s">
        <v>18</v>
      </c>
    </row>
    <row r="2204" spans="2:8" ht="15" customHeight="1" x14ac:dyDescent="0.3">
      <c r="B2204" s="126">
        <v>45862</v>
      </c>
      <c r="C2204" s="125" t="s">
        <v>68</v>
      </c>
      <c r="D2204" s="125" t="s">
        <v>12</v>
      </c>
      <c r="E2204" s="124" t="str">
        <f>IFERROR(VLOOKUP(C2204,'Base de donnée articles'!$B$8:$C$331,2,FALSE)," ")</f>
        <v>CH025</v>
      </c>
      <c r="F2204" s="125"/>
      <c r="G2204" s="125">
        <v>6</v>
      </c>
      <c r="H2204" s="125" t="s">
        <v>10</v>
      </c>
    </row>
    <row r="2205" spans="2:8" ht="15" customHeight="1" x14ac:dyDescent="0.3">
      <c r="B2205" s="126">
        <v>45862</v>
      </c>
      <c r="C2205" s="125" t="s">
        <v>57</v>
      </c>
      <c r="D2205" s="125" t="s">
        <v>12</v>
      </c>
      <c r="E2205" s="124" t="str">
        <f>IFERROR(VLOOKUP(C2205,'Base de donnée articles'!$B$8:$C$331,2,FALSE)," ")</f>
        <v>CH007</v>
      </c>
      <c r="F2205" s="125">
        <v>560</v>
      </c>
      <c r="G2205" s="125"/>
      <c r="H2205" s="125" t="s">
        <v>18</v>
      </c>
    </row>
    <row r="2206" spans="2:8" ht="15" customHeight="1" x14ac:dyDescent="0.3">
      <c r="B2206" s="126">
        <v>45862</v>
      </c>
      <c r="C2206" s="125" t="s">
        <v>45</v>
      </c>
      <c r="D2206" s="125" t="s">
        <v>12</v>
      </c>
      <c r="E2206" s="124" t="str">
        <f>IFERROR(VLOOKUP(C2206,'Base de donnée articles'!$B$8:$C$331,2,FALSE)," ")</f>
        <v>CH009</v>
      </c>
      <c r="F2206" s="125">
        <v>480</v>
      </c>
      <c r="G2206" s="125"/>
      <c r="H2206" s="125" t="s">
        <v>18</v>
      </c>
    </row>
    <row r="2207" spans="2:8" ht="15" customHeight="1" x14ac:dyDescent="0.3">
      <c r="B2207" s="126">
        <v>45862</v>
      </c>
      <c r="C2207" s="125" t="s">
        <v>61</v>
      </c>
      <c r="D2207" s="125" t="s">
        <v>20</v>
      </c>
      <c r="E2207" s="124" t="str">
        <f>IFERROR(VLOOKUP(C2207,'Base de donnée articles'!$B$8:$C$331,2,FALSE)," ")</f>
        <v>CH070</v>
      </c>
      <c r="F2207" s="125"/>
      <c r="G2207" s="125">
        <v>10.000999999999999</v>
      </c>
      <c r="H2207" s="125" t="s">
        <v>10</v>
      </c>
    </row>
    <row r="2208" spans="2:8" ht="15" customHeight="1" x14ac:dyDescent="0.3">
      <c r="B2208" s="126">
        <v>45862</v>
      </c>
      <c r="C2208" s="125" t="s">
        <v>126</v>
      </c>
      <c r="D2208" s="125" t="s">
        <v>20</v>
      </c>
      <c r="E2208" s="124" t="str">
        <f>IFERROR(VLOOKUP(C2208,'Base de donnée articles'!$B$8:$C$331,2,FALSE)," ")</f>
        <v>CH071</v>
      </c>
      <c r="F2208" s="125"/>
      <c r="G2208" s="125">
        <v>4</v>
      </c>
      <c r="H2208" s="125" t="s">
        <v>10</v>
      </c>
    </row>
    <row r="2209" spans="2:8" ht="15" customHeight="1" x14ac:dyDescent="0.3">
      <c r="B2209" s="126">
        <v>45862</v>
      </c>
      <c r="C2209" s="125" t="s">
        <v>188</v>
      </c>
      <c r="D2209" s="125" t="s">
        <v>12</v>
      </c>
      <c r="E2209" s="124" t="str">
        <f>IFERROR(VLOOKUP(C2209,'Base de donnée articles'!$B$8:$C$331,2,FALSE)," ")</f>
        <v>CH055</v>
      </c>
      <c r="F2209" s="125">
        <v>26</v>
      </c>
      <c r="G2209" s="125"/>
      <c r="H2209" s="125" t="s">
        <v>18</v>
      </c>
    </row>
    <row r="2210" spans="2:8" ht="15" customHeight="1" x14ac:dyDescent="0.3">
      <c r="B2210" s="126">
        <v>45862</v>
      </c>
      <c r="C2210" s="125" t="s">
        <v>178</v>
      </c>
      <c r="D2210" s="125" t="s">
        <v>20</v>
      </c>
      <c r="E2210" s="124" t="str">
        <f>IFERROR(VLOOKUP(C2210,'Base de donnée articles'!$B$8:$C$331,2,FALSE)," ")</f>
        <v>LAN</v>
      </c>
      <c r="F2210" s="125"/>
      <c r="G2210" s="125">
        <v>2</v>
      </c>
      <c r="H2210" s="125" t="s">
        <v>10</v>
      </c>
    </row>
    <row r="2211" spans="2:8" ht="15" customHeight="1" x14ac:dyDescent="0.3">
      <c r="B2211" s="126">
        <v>45862</v>
      </c>
      <c r="C2211" s="125" t="s">
        <v>183</v>
      </c>
      <c r="D2211" s="125" t="s">
        <v>20</v>
      </c>
      <c r="E2211" s="124" t="str">
        <f>IFERROR(VLOOKUP(C2211,'Base de donnée articles'!$B$8:$C$331,2,FALSE)," ")</f>
        <v>FAR</v>
      </c>
      <c r="F2211" s="125"/>
      <c r="G2211" s="125">
        <v>1</v>
      </c>
      <c r="H2211" s="125" t="s">
        <v>10</v>
      </c>
    </row>
    <row r="2212" spans="2:8" ht="15" customHeight="1" x14ac:dyDescent="0.3">
      <c r="B2212" s="126">
        <v>45772</v>
      </c>
      <c r="C2212" s="125" t="s">
        <v>93</v>
      </c>
      <c r="D2212" s="125" t="s">
        <v>12</v>
      </c>
      <c r="E2212" s="124" t="str">
        <f>IFERROR(VLOOKUP(C2212,'Base de donnée articles'!$B$8:$C$331,2,FALSE)," ")</f>
        <v>CH002</v>
      </c>
      <c r="F2212" s="125"/>
      <c r="G2212" s="125">
        <v>10</v>
      </c>
      <c r="H2212" s="125" t="s">
        <v>10</v>
      </c>
    </row>
    <row r="2213" spans="2:8" ht="15" customHeight="1" x14ac:dyDescent="0.3">
      <c r="B2213" s="126">
        <v>45865</v>
      </c>
      <c r="C2213" s="125" t="s">
        <v>68</v>
      </c>
      <c r="D2213" s="125" t="s">
        <v>12</v>
      </c>
      <c r="E2213" s="124" t="str">
        <f>IFERROR(VLOOKUP(C2213,'Base de donnée articles'!$B$8:$C$331,2,FALSE)," ")</f>
        <v>CH025</v>
      </c>
      <c r="F2213" s="125">
        <v>8</v>
      </c>
      <c r="G2213" s="125"/>
      <c r="H2213" s="125" t="s">
        <v>18</v>
      </c>
    </row>
    <row r="2214" spans="2:8" ht="15" customHeight="1" x14ac:dyDescent="0.3">
      <c r="B2214" s="126">
        <v>45865</v>
      </c>
      <c r="C2214" s="125" t="s">
        <v>188</v>
      </c>
      <c r="D2214" s="125" t="s">
        <v>12</v>
      </c>
      <c r="E2214" s="124" t="str">
        <f>IFERROR(VLOOKUP(C2214,'Base de donnée articles'!$B$8:$C$331,2,FALSE)," ")</f>
        <v>CH055</v>
      </c>
      <c r="F2214" s="125">
        <f>6*12</f>
        <v>72</v>
      </c>
      <c r="G2214" s="125"/>
      <c r="H2214" s="125" t="s">
        <v>18</v>
      </c>
    </row>
    <row r="2215" spans="2:8" ht="15" customHeight="1" x14ac:dyDescent="0.3">
      <c r="B2215" s="126">
        <v>45865</v>
      </c>
      <c r="C2215" s="125" t="s">
        <v>108</v>
      </c>
      <c r="D2215" s="125" t="s">
        <v>12</v>
      </c>
      <c r="E2215" s="124" t="str">
        <f>IFERROR(VLOOKUP(C2215,'Base de donnée articles'!$B$8:$C$331,2,FALSE)," ")</f>
        <v>CIT</v>
      </c>
      <c r="F2215" s="125">
        <v>3</v>
      </c>
      <c r="G2215" s="125"/>
      <c r="H2215" s="125" t="s">
        <v>18</v>
      </c>
    </row>
    <row r="2216" spans="2:8" ht="15" customHeight="1" x14ac:dyDescent="0.3">
      <c r="B2216" s="126">
        <v>45865</v>
      </c>
      <c r="C2216" s="125" t="s">
        <v>190</v>
      </c>
      <c r="D2216" s="125" t="s">
        <v>191</v>
      </c>
      <c r="E2216" s="124" t="str">
        <f>IFERROR(VLOOKUP(C2216,'Base de donnée articles'!$B$8:$C$331,2,FALSE)," ")</f>
        <v xml:space="preserve"> </v>
      </c>
      <c r="F2216" s="125">
        <v>4.5</v>
      </c>
      <c r="G2216" s="125"/>
      <c r="H2216" s="125" t="s">
        <v>18</v>
      </c>
    </row>
    <row r="2217" spans="2:8" ht="15" customHeight="1" x14ac:dyDescent="0.3">
      <c r="B2217" s="126">
        <v>45865</v>
      </c>
      <c r="C2217" s="125" t="s">
        <v>192</v>
      </c>
      <c r="D2217" s="125" t="s">
        <v>12</v>
      </c>
      <c r="E2217" s="124" t="str">
        <f>IFERROR(VLOOKUP(C2217,'Base de donnée articles'!$B$8:$C$331,2,FALSE)," ")</f>
        <v xml:space="preserve"> </v>
      </c>
      <c r="F2217" s="125">
        <v>3</v>
      </c>
      <c r="G2217" s="125"/>
      <c r="H2217" s="125" t="s">
        <v>18</v>
      </c>
    </row>
    <row r="2218" spans="2:8" ht="15" customHeight="1" x14ac:dyDescent="0.3">
      <c r="B2218" s="126">
        <v>45865</v>
      </c>
      <c r="C2218" s="125" t="s">
        <v>192</v>
      </c>
      <c r="D2218" s="125" t="s">
        <v>12</v>
      </c>
      <c r="E2218" s="124" t="str">
        <f>IFERROR(VLOOKUP(C2218,'Base de donnée articles'!$B$8:$C$331,2,FALSE)," ")</f>
        <v xml:space="preserve"> </v>
      </c>
      <c r="F2218" s="125"/>
      <c r="G2218" s="125">
        <v>3</v>
      </c>
      <c r="H2218" s="125" t="s">
        <v>10</v>
      </c>
    </row>
    <row r="2219" spans="2:8" ht="15" customHeight="1" x14ac:dyDescent="0.3">
      <c r="B2219" s="126">
        <v>45866</v>
      </c>
      <c r="C2219" s="125" t="s">
        <v>30</v>
      </c>
      <c r="D2219" s="125" t="s">
        <v>8</v>
      </c>
      <c r="E2219" s="124" t="str">
        <f>IFERROR(VLOOKUP(C2219,'Base de donnée articles'!$B$8:$C$331,2,FALSE)," ")</f>
        <v>PAT002</v>
      </c>
      <c r="F2219" s="125">
        <v>2</v>
      </c>
      <c r="G2219" s="125"/>
      <c r="H2219" s="125" t="s">
        <v>18</v>
      </c>
    </row>
    <row r="2220" spans="2:8" ht="15" customHeight="1" x14ac:dyDescent="0.3">
      <c r="B2220" s="126">
        <v>45866</v>
      </c>
      <c r="C2220" s="125" t="s">
        <v>101</v>
      </c>
      <c r="D2220" s="125" t="s">
        <v>8</v>
      </c>
      <c r="E2220" s="124" t="str">
        <f>IFERROR(VLOOKUP(C2220,'Base de donnée articles'!$B$8:$C$331,2,FALSE)," ")</f>
        <v>PA011</v>
      </c>
      <c r="F2220" s="125">
        <v>1</v>
      </c>
      <c r="G2220" s="125"/>
      <c r="H2220" s="125" t="s">
        <v>18</v>
      </c>
    </row>
    <row r="2221" spans="2:8" ht="15" customHeight="1" x14ac:dyDescent="0.3">
      <c r="B2221" s="126">
        <v>45866</v>
      </c>
      <c r="C2221" s="125" t="s">
        <v>79</v>
      </c>
      <c r="D2221" s="125" t="s">
        <v>191</v>
      </c>
      <c r="E2221" s="124" t="str">
        <f>IFERROR(VLOOKUP(C2221,'Base de donnée articles'!$B$8:$C$331,2,FALSE)," ")</f>
        <v>FRT100</v>
      </c>
      <c r="F2221" s="125">
        <v>10</v>
      </c>
      <c r="G2221" s="125"/>
      <c r="H2221" s="125" t="s">
        <v>18</v>
      </c>
    </row>
    <row r="2222" spans="2:8" ht="15" customHeight="1" x14ac:dyDescent="0.3">
      <c r="B2222" s="126">
        <v>45866</v>
      </c>
      <c r="C2222" s="125" t="s">
        <v>83</v>
      </c>
      <c r="D2222" s="125" t="s">
        <v>20</v>
      </c>
      <c r="E2222" s="124" t="str">
        <f>IFERROR(VLOOKUP(C2222,'Base de donnée articles'!$B$8:$C$331,2,FALSE)," ")</f>
        <v>CH013</v>
      </c>
      <c r="F2222" s="125">
        <v>20</v>
      </c>
      <c r="G2222" s="125"/>
      <c r="H2222" s="125" t="s">
        <v>18</v>
      </c>
    </row>
    <row r="2223" spans="2:8" ht="15" customHeight="1" x14ac:dyDescent="0.3">
      <c r="B2223" s="126">
        <v>45866</v>
      </c>
      <c r="C2223" s="125" t="s">
        <v>90</v>
      </c>
      <c r="D2223" s="125" t="s">
        <v>191</v>
      </c>
      <c r="E2223" s="124" t="str">
        <f>IFERROR(VLOOKUP(C2223,'Base de donnée articles'!$B$8:$C$331,2,FALSE)," ")</f>
        <v>CH015</v>
      </c>
      <c r="F2223" s="125">
        <v>10</v>
      </c>
      <c r="G2223" s="125"/>
      <c r="H2223" s="125" t="s">
        <v>18</v>
      </c>
    </row>
    <row r="2224" spans="2:8" ht="15" customHeight="1" x14ac:dyDescent="0.3">
      <c r="B2224" s="126">
        <v>45866</v>
      </c>
      <c r="C2224" s="125" t="s">
        <v>35</v>
      </c>
      <c r="D2224" s="125" t="s">
        <v>8</v>
      </c>
      <c r="E2224" s="124" t="str">
        <f>IFERROR(VLOOKUP(C2224,'Base de donnée articles'!$B$8:$C$331,2,FALSE)," ")</f>
        <v>CH027</v>
      </c>
      <c r="F2224" s="125">
        <v>12</v>
      </c>
      <c r="G2224" s="125"/>
      <c r="H2224" s="125" t="s">
        <v>18</v>
      </c>
    </row>
    <row r="2225" spans="2:8" ht="15" customHeight="1" x14ac:dyDescent="0.3">
      <c r="B2225" s="126">
        <v>45866</v>
      </c>
      <c r="C2225" s="125" t="s">
        <v>32</v>
      </c>
      <c r="D2225" s="125" t="s">
        <v>33</v>
      </c>
      <c r="E2225" s="124" t="str">
        <f>IFERROR(VLOOKUP(C2225,'Base de donnée articles'!$B$8:$C$331,2,FALSE)," ")</f>
        <v>MAY</v>
      </c>
      <c r="F2225" s="125">
        <v>1</v>
      </c>
      <c r="G2225" s="125"/>
      <c r="H2225" s="125" t="s">
        <v>18</v>
      </c>
    </row>
    <row r="2226" spans="2:8" ht="15" customHeight="1" x14ac:dyDescent="0.3">
      <c r="B2226" s="126">
        <v>45866</v>
      </c>
      <c r="C2226" s="125" t="s">
        <v>117</v>
      </c>
      <c r="D2226" s="125" t="s">
        <v>33</v>
      </c>
      <c r="E2226" s="124" t="str">
        <f>IFERROR(VLOOKUP(C2226,'Base de donnée articles'!$B$8:$C$331,2,FALSE)," ")</f>
        <v>KET</v>
      </c>
      <c r="F2226" s="125">
        <v>1</v>
      </c>
      <c r="G2226" s="125"/>
      <c r="H2226" s="125" t="s">
        <v>18</v>
      </c>
    </row>
    <row r="2227" spans="2:8" ht="15" customHeight="1" x14ac:dyDescent="0.3">
      <c r="B2227" s="126">
        <v>45866</v>
      </c>
      <c r="C2227" s="125" t="s">
        <v>73</v>
      </c>
      <c r="D2227" s="125" t="s">
        <v>71</v>
      </c>
      <c r="E2227" s="124" t="str">
        <f>IFERROR(VLOOKUP(C2227,'Base de donnée articles'!$B$8:$C$331,2,FALSE)," ")</f>
        <v>GAR007</v>
      </c>
      <c r="F2227" s="125">
        <v>3</v>
      </c>
      <c r="G2227" s="125"/>
      <c r="H2227" s="125" t="s">
        <v>18</v>
      </c>
    </row>
    <row r="2228" spans="2:8" ht="15" customHeight="1" x14ac:dyDescent="0.3">
      <c r="B2228" s="126">
        <v>45866</v>
      </c>
      <c r="C2228" s="125" t="s">
        <v>70</v>
      </c>
      <c r="D2228" s="125" t="s">
        <v>71</v>
      </c>
      <c r="E2228" s="124" t="str">
        <f>IFERROR(VLOOKUP(C2228,'Base de donnée articles'!$B$8:$C$331,2,FALSE)," ")</f>
        <v>GAR014</v>
      </c>
      <c r="F2228" s="125">
        <v>2</v>
      </c>
      <c r="G2228" s="125"/>
      <c r="H2228" s="125" t="s">
        <v>18</v>
      </c>
    </row>
    <row r="2229" spans="2:8" ht="15" customHeight="1" x14ac:dyDescent="0.3">
      <c r="B2229" s="126">
        <v>45866</v>
      </c>
      <c r="C2229" s="125" t="s">
        <v>80</v>
      </c>
      <c r="D2229" s="125" t="s">
        <v>71</v>
      </c>
      <c r="E2229" s="124" t="str">
        <f>IFERROR(VLOOKUP(C2229,'Base de donnée articles'!$B$8:$C$331,2,FALSE)," ")</f>
        <v>GAR011</v>
      </c>
      <c r="F2229" s="125">
        <v>2</v>
      </c>
      <c r="G2229" s="125"/>
      <c r="H2229" s="125" t="s">
        <v>18</v>
      </c>
    </row>
    <row r="2230" spans="2:8" ht="15" customHeight="1" x14ac:dyDescent="0.3">
      <c r="B2230" s="126">
        <v>45866</v>
      </c>
      <c r="C2230" s="125" t="s">
        <v>188</v>
      </c>
      <c r="D2230" s="125" t="s">
        <v>12</v>
      </c>
      <c r="E2230" s="124" t="str">
        <f>IFERROR(VLOOKUP(C2230,'Base de donnée articles'!$B$8:$C$331,2,FALSE)," ")</f>
        <v>CH055</v>
      </c>
      <c r="F2230" s="125">
        <f>120</f>
        <v>120</v>
      </c>
      <c r="G2230" s="125"/>
      <c r="H2230" s="125" t="s">
        <v>18</v>
      </c>
    </row>
    <row r="2231" spans="2:8" ht="15" customHeight="1" x14ac:dyDescent="0.3">
      <c r="B2231" s="126">
        <v>45866</v>
      </c>
      <c r="C2231" s="125" t="s">
        <v>115</v>
      </c>
      <c r="D2231" s="125" t="s">
        <v>12</v>
      </c>
      <c r="E2231" s="124" t="str">
        <f>IFERROR(VLOOKUP(C2231,'Base de donnée articles'!$B$8:$C$331,2,FALSE)," ")</f>
        <v>KON</v>
      </c>
      <c r="F2231" s="125">
        <v>4</v>
      </c>
      <c r="G2231" s="125"/>
      <c r="H2231" s="125" t="s">
        <v>18</v>
      </c>
    </row>
    <row r="2232" spans="2:8" ht="15" customHeight="1" x14ac:dyDescent="0.3">
      <c r="B2232" s="126">
        <v>45866</v>
      </c>
      <c r="C2232" s="125" t="s">
        <v>61</v>
      </c>
      <c r="D2232" s="125" t="s">
        <v>191</v>
      </c>
      <c r="E2232" s="124" t="str">
        <f>IFERROR(VLOOKUP(C2232,'Base de donnée articles'!$B$8:$C$331,2,FALSE)," ")</f>
        <v>CH070</v>
      </c>
      <c r="F2232" s="125">
        <v>10</v>
      </c>
      <c r="G2232" s="125"/>
      <c r="H2232" s="125" t="s">
        <v>18</v>
      </c>
    </row>
    <row r="2233" spans="2:8" ht="15" customHeight="1" x14ac:dyDescent="0.3">
      <c r="B2233" s="126">
        <v>45866</v>
      </c>
      <c r="C2233" s="125" t="s">
        <v>193</v>
      </c>
      <c r="D2233" s="125" t="s">
        <v>12</v>
      </c>
      <c r="E2233" s="124" t="str">
        <f>IFERROR(VLOOKUP(C2233,'Base de donnée articles'!$B$8:$C$331,2,FALSE)," ")</f>
        <v xml:space="preserve"> </v>
      </c>
      <c r="F2233" s="125">
        <v>2</v>
      </c>
      <c r="G2233" s="125"/>
      <c r="H2233" s="125" t="s">
        <v>18</v>
      </c>
    </row>
    <row r="2234" spans="2:8" ht="15" customHeight="1" x14ac:dyDescent="0.3">
      <c r="B2234" s="126">
        <v>45867</v>
      </c>
      <c r="C2234" s="125" t="s">
        <v>178</v>
      </c>
      <c r="D2234" s="125" t="s">
        <v>191</v>
      </c>
      <c r="E2234" s="124" t="str">
        <f>IFERROR(VLOOKUP(C2234,'Base de donnée articles'!$B$8:$C$331,2,FALSE)," ")</f>
        <v>LAN</v>
      </c>
      <c r="F2234" s="125">
        <v>7</v>
      </c>
      <c r="G2234" s="125"/>
      <c r="H2234" s="125" t="s">
        <v>18</v>
      </c>
    </row>
    <row r="2235" spans="2:8" ht="15" customHeight="1" x14ac:dyDescent="0.3">
      <c r="B2235" s="126">
        <v>45867</v>
      </c>
      <c r="C2235" s="125" t="s">
        <v>194</v>
      </c>
      <c r="D2235" s="125" t="s">
        <v>160</v>
      </c>
      <c r="E2235" s="124" t="str">
        <f>IFERROR(VLOOKUP(C2235,'Base de donnée articles'!$B$8:$C$331,2,FALSE)," ")</f>
        <v>CH003</v>
      </c>
      <c r="F2235" s="125">
        <v>2</v>
      </c>
      <c r="G2235" s="125"/>
      <c r="H2235" s="125" t="s">
        <v>18</v>
      </c>
    </row>
    <row r="2236" spans="2:8" ht="15" customHeight="1" x14ac:dyDescent="0.3">
      <c r="B2236" s="126">
        <v>45867</v>
      </c>
      <c r="C2236" s="125" t="s">
        <v>41</v>
      </c>
      <c r="D2236" s="125" t="s">
        <v>191</v>
      </c>
      <c r="E2236" s="124" t="str">
        <f>IFERROR(VLOOKUP(C2236,'Base de donnée articles'!$B$8:$C$331,2,FALSE)," ")</f>
        <v>GAR005</v>
      </c>
      <c r="F2236" s="125">
        <v>7</v>
      </c>
      <c r="G2236" s="125"/>
      <c r="H2236" s="125" t="s">
        <v>18</v>
      </c>
    </row>
    <row r="2237" spans="2:8" ht="15" customHeight="1" x14ac:dyDescent="0.3">
      <c r="B2237" s="126">
        <v>45867</v>
      </c>
      <c r="C2237" s="125" t="s">
        <v>39</v>
      </c>
      <c r="D2237" s="125" t="s">
        <v>191</v>
      </c>
      <c r="E2237" s="124" t="str">
        <f>IFERROR(VLOOKUP(C2237,'Base de donnée articles'!$B$8:$C$331,2,FALSE)," ")</f>
        <v>GAR004</v>
      </c>
      <c r="F2237" s="125">
        <v>10</v>
      </c>
      <c r="G2237" s="125"/>
      <c r="H2237" s="125" t="s">
        <v>18</v>
      </c>
    </row>
    <row r="2238" spans="2:8" ht="15" customHeight="1" x14ac:dyDescent="0.3">
      <c r="B2238" s="126">
        <v>45868</v>
      </c>
      <c r="C2238" s="125" t="s">
        <v>63</v>
      </c>
      <c r="D2238" s="125" t="s">
        <v>191</v>
      </c>
      <c r="E2238" s="124" t="str">
        <f>IFERROR(VLOOKUP(C2238,'Base de donnée articles'!$B$8:$C$331,2,FALSE)," ")</f>
        <v>FRT200</v>
      </c>
      <c r="F2238" s="125">
        <v>5</v>
      </c>
      <c r="G2238" s="125"/>
      <c r="H2238" s="125" t="s">
        <v>18</v>
      </c>
    </row>
    <row r="2239" spans="2:8" ht="15" customHeight="1" x14ac:dyDescent="0.3">
      <c r="B2239" s="126">
        <v>45868</v>
      </c>
      <c r="C2239" s="125" t="s">
        <v>181</v>
      </c>
      <c r="D2239" s="125" t="s">
        <v>191</v>
      </c>
      <c r="E2239" s="124" t="str">
        <f>IFERROR(VLOOKUP(C2239,'Base de donnée articles'!$B$8:$C$331,2,FALSE)," ")</f>
        <v>PAT008</v>
      </c>
      <c r="F2239" s="125">
        <v>5</v>
      </c>
      <c r="G2239" s="125"/>
      <c r="H2239" s="125" t="s">
        <v>18</v>
      </c>
    </row>
    <row r="2240" spans="2:8" ht="15" customHeight="1" x14ac:dyDescent="0.3">
      <c r="B2240" s="126">
        <v>45868</v>
      </c>
      <c r="C2240" s="125" t="s">
        <v>195</v>
      </c>
      <c r="D2240" s="125" t="s">
        <v>191</v>
      </c>
      <c r="E2240" s="124" t="str">
        <f>IFERROR(VLOOKUP(C2240,'Base de donnée articles'!$B$8:$C$331,2,FALSE)," ")</f>
        <v>VD01</v>
      </c>
      <c r="F2240" s="125">
        <v>5.96</v>
      </c>
      <c r="G2240" s="125"/>
      <c r="H2240" s="125" t="s">
        <v>18</v>
      </c>
    </row>
    <row r="2241" spans="2:8" ht="15" customHeight="1" x14ac:dyDescent="0.3">
      <c r="B2241" s="126">
        <v>45868</v>
      </c>
      <c r="C2241" s="125" t="s">
        <v>51</v>
      </c>
      <c r="D2241" s="125" t="s">
        <v>191</v>
      </c>
      <c r="E2241" s="124" t="str">
        <f>IFERROR(VLOOKUP(C2241,'Base de donnée articles'!$B$8:$C$331,2,FALSE)," ")</f>
        <v>SAU010</v>
      </c>
      <c r="F2241" s="125">
        <v>20</v>
      </c>
      <c r="G2241" s="125"/>
      <c r="H2241" s="125" t="s">
        <v>18</v>
      </c>
    </row>
    <row r="2242" spans="2:8" ht="15" customHeight="1" x14ac:dyDescent="0.3">
      <c r="B2242" s="126">
        <v>45868</v>
      </c>
      <c r="C2242" s="125" t="s">
        <v>55</v>
      </c>
      <c r="D2242" s="125" t="s">
        <v>160</v>
      </c>
      <c r="E2242" s="124" t="str">
        <f>IFERROR(VLOOKUP(C2242,'Base de donnée articles'!$B$8:$C$331,2,FALSE)," ")</f>
        <v>CH001</v>
      </c>
      <c r="F2242" s="125">
        <v>1</v>
      </c>
      <c r="G2242" s="125"/>
      <c r="H2242" s="125" t="s">
        <v>18</v>
      </c>
    </row>
    <row r="2243" spans="2:8" ht="15" customHeight="1" x14ac:dyDescent="0.3">
      <c r="B2243" s="126">
        <v>45868</v>
      </c>
      <c r="C2243" s="125" t="s">
        <v>39</v>
      </c>
      <c r="D2243" s="125" t="s">
        <v>191</v>
      </c>
      <c r="E2243" s="124" t="str">
        <f>IFERROR(VLOOKUP(C2243,'Base de donnée articles'!$B$8:$C$331,2,FALSE)," ")</f>
        <v>GAR004</v>
      </c>
      <c r="F2243" s="125">
        <v>10</v>
      </c>
      <c r="G2243" s="125"/>
      <c r="H2243" s="125" t="s">
        <v>18</v>
      </c>
    </row>
    <row r="2244" spans="2:8" ht="15" customHeight="1" x14ac:dyDescent="0.3">
      <c r="B2244" s="126">
        <v>45868</v>
      </c>
      <c r="C2244" s="125" t="s">
        <v>41</v>
      </c>
      <c r="D2244" s="125" t="s">
        <v>191</v>
      </c>
      <c r="E2244" s="124" t="str">
        <f>IFERROR(VLOOKUP(C2244,'Base de donnée articles'!$B$8:$C$331,2,FALSE)," ")</f>
        <v>GAR005</v>
      </c>
      <c r="F2244" s="125">
        <v>5.5</v>
      </c>
      <c r="G2244" s="125"/>
      <c r="H2244" s="125" t="s">
        <v>18</v>
      </c>
    </row>
    <row r="2245" spans="2:8" ht="15" customHeight="1" x14ac:dyDescent="0.3">
      <c r="B2245" s="126">
        <v>45869</v>
      </c>
      <c r="C2245" s="125" t="s">
        <v>185</v>
      </c>
      <c r="D2245" s="125" t="s">
        <v>12</v>
      </c>
      <c r="E2245" s="124" t="str">
        <f>IFERROR(VLOOKUP(C2245,'Base de donnée articles'!$B$8:$C$331,2,FALSE)," ")</f>
        <v>PAT007</v>
      </c>
      <c r="F2245" s="125">
        <v>60</v>
      </c>
      <c r="G2245" s="125"/>
      <c r="H2245" s="125" t="s">
        <v>18</v>
      </c>
    </row>
    <row r="2246" spans="2:8" ht="15" customHeight="1" x14ac:dyDescent="0.3">
      <c r="B2246" s="126">
        <v>45870</v>
      </c>
      <c r="C2246" s="125" t="s">
        <v>28</v>
      </c>
      <c r="D2246" s="125" t="s">
        <v>8</v>
      </c>
      <c r="E2246" s="124" t="str">
        <f>IFERROR(VLOOKUP(C2246,'Base de donnée articles'!$B$8:$C$331,2,FALSE)," ")</f>
        <v>PAT003</v>
      </c>
      <c r="F2246" s="125">
        <v>3</v>
      </c>
      <c r="G2246" s="125"/>
      <c r="H2246" s="125" t="s">
        <v>18</v>
      </c>
    </row>
    <row r="2247" spans="2:8" ht="15" customHeight="1" x14ac:dyDescent="0.3">
      <c r="B2247" s="126">
        <v>45870</v>
      </c>
      <c r="C2247" s="125" t="s">
        <v>7</v>
      </c>
      <c r="D2247" s="125" t="s">
        <v>8</v>
      </c>
      <c r="E2247" s="124" t="str">
        <f>IFERROR(VLOOKUP(C2247,'Base de donnée articles'!$B$8:$C$331,2,FALSE)," ")</f>
        <v>PAT004</v>
      </c>
      <c r="F2247" s="125">
        <v>3</v>
      </c>
      <c r="G2247" s="125"/>
      <c r="H2247" s="125" t="s">
        <v>18</v>
      </c>
    </row>
    <row r="2248" spans="2:8" ht="15" customHeight="1" x14ac:dyDescent="0.3">
      <c r="B2248" s="126">
        <v>45870</v>
      </c>
      <c r="C2248" s="125" t="s">
        <v>45</v>
      </c>
      <c r="D2248" s="125" t="s">
        <v>12</v>
      </c>
      <c r="E2248" s="124" t="str">
        <f>IFERROR(VLOOKUP(C2248,'Base de donnée articles'!$B$8:$C$331,2,FALSE)," ")</f>
        <v>CH009</v>
      </c>
      <c r="F2248" s="125"/>
      <c r="G2248" s="125">
        <v>80</v>
      </c>
      <c r="H2248" s="125" t="s">
        <v>10</v>
      </c>
    </row>
    <row r="2249" spans="2:8" ht="15" customHeight="1" x14ac:dyDescent="0.3">
      <c r="B2249" s="126">
        <v>45871</v>
      </c>
      <c r="C2249" s="125" t="s">
        <v>95</v>
      </c>
      <c r="D2249" s="125" t="s">
        <v>12</v>
      </c>
      <c r="E2249" s="124" t="str">
        <f>IFERROR(VLOOKUP(C2249,'Base de donnée articles'!$B$8:$C$331,2,FALSE)," ")</f>
        <v>FRT006</v>
      </c>
      <c r="F2249" s="125">
        <v>30</v>
      </c>
      <c r="G2249" s="125"/>
      <c r="H2249" s="125" t="s">
        <v>18</v>
      </c>
    </row>
    <row r="2250" spans="2:8" ht="15" customHeight="1" x14ac:dyDescent="0.3">
      <c r="B2250" s="126">
        <v>45871</v>
      </c>
      <c r="C2250" s="125" t="s">
        <v>39</v>
      </c>
      <c r="D2250" s="129" t="s">
        <v>20</v>
      </c>
      <c r="E2250" s="124" t="str">
        <f>IFERROR(VLOOKUP(C2250,'Base de donnée articles'!$B$8:$C$331,2,FALSE)," ")</f>
        <v>GAR004</v>
      </c>
      <c r="F2250" s="125">
        <v>5</v>
      </c>
      <c r="G2250" s="125"/>
      <c r="H2250" s="129" t="s">
        <v>18</v>
      </c>
    </row>
    <row r="2251" spans="2:8" ht="15" customHeight="1" x14ac:dyDescent="0.3">
      <c r="B2251" s="126">
        <v>45871</v>
      </c>
      <c r="C2251" s="125" t="s">
        <v>41</v>
      </c>
      <c r="D2251" s="129" t="s">
        <v>20</v>
      </c>
      <c r="E2251" s="124" t="str">
        <f>IFERROR(VLOOKUP(C2251,'Base de donnée articles'!$B$8:$C$331,2,FALSE)," ")</f>
        <v>GAR005</v>
      </c>
      <c r="F2251" s="125">
        <v>5</v>
      </c>
      <c r="G2251" s="125"/>
      <c r="H2251" s="129" t="s">
        <v>18</v>
      </c>
    </row>
    <row r="2252" spans="2:8" ht="15" customHeight="1" x14ac:dyDescent="0.3">
      <c r="B2252" s="126">
        <v>45871</v>
      </c>
      <c r="C2252" s="125" t="s">
        <v>188</v>
      </c>
      <c r="D2252" s="129" t="s">
        <v>12</v>
      </c>
      <c r="E2252" s="124" t="str">
        <f>IFERROR(VLOOKUP(C2252,'Base de donnée articles'!$B$8:$C$331,2,FALSE)," ")</f>
        <v>CH055</v>
      </c>
      <c r="F2252" s="125">
        <v>132</v>
      </c>
      <c r="G2252" s="125"/>
      <c r="H2252" s="129" t="s">
        <v>18</v>
      </c>
    </row>
    <row r="2253" spans="2:8" ht="15" customHeight="1" x14ac:dyDescent="0.3">
      <c r="B2253" s="126">
        <v>45873</v>
      </c>
      <c r="C2253" s="125" t="s">
        <v>185</v>
      </c>
      <c r="D2253" s="125" t="s">
        <v>12</v>
      </c>
      <c r="E2253" s="124" t="str">
        <f>IFERROR(VLOOKUP(C2253,'Base de donnée articles'!$B$8:$C$331,2,FALSE)," ")</f>
        <v>PAT007</v>
      </c>
      <c r="F2253" s="125"/>
      <c r="G2253" s="125">
        <v>60</v>
      </c>
      <c r="H2253" s="125" t="s">
        <v>10</v>
      </c>
    </row>
    <row r="2254" spans="2:8" ht="15" customHeight="1" x14ac:dyDescent="0.3">
      <c r="B2254" s="126">
        <v>45873</v>
      </c>
      <c r="C2254" s="125" t="s">
        <v>30</v>
      </c>
      <c r="D2254" s="125" t="s">
        <v>8</v>
      </c>
      <c r="E2254" s="124" t="str">
        <f>IFERROR(VLOOKUP(C2254,'Base de donnée articles'!$B$8:$C$331,2,FALSE)," ")</f>
        <v>PAT002</v>
      </c>
      <c r="F2254" s="125"/>
      <c r="G2254" s="125">
        <v>4</v>
      </c>
      <c r="H2254" s="125" t="s">
        <v>10</v>
      </c>
    </row>
    <row r="2255" spans="2:8" ht="15" customHeight="1" x14ac:dyDescent="0.3">
      <c r="B2255" s="126">
        <v>45873</v>
      </c>
      <c r="C2255" s="125" t="s">
        <v>28</v>
      </c>
      <c r="D2255" s="125" t="s">
        <v>8</v>
      </c>
      <c r="E2255" s="124" t="str">
        <f>IFERROR(VLOOKUP(C2255,'Base de donnée articles'!$B$8:$C$331,2,FALSE)," ")</f>
        <v>PAT003</v>
      </c>
      <c r="F2255" s="125"/>
      <c r="G2255" s="125">
        <v>7</v>
      </c>
      <c r="H2255" s="125" t="s">
        <v>10</v>
      </c>
    </row>
    <row r="2256" spans="2:8" ht="15" customHeight="1" x14ac:dyDescent="0.3">
      <c r="B2256" s="126">
        <v>45873</v>
      </c>
      <c r="C2256" s="125" t="s">
        <v>7</v>
      </c>
      <c r="D2256" s="125" t="s">
        <v>197</v>
      </c>
      <c r="E2256" s="124" t="str">
        <f>IFERROR(VLOOKUP(C2256,'Base de donnée articles'!$B$8:$C$331,2,FALSE)," ")</f>
        <v>PAT004</v>
      </c>
      <c r="F2256" s="125"/>
      <c r="G2256" s="125">
        <v>6</v>
      </c>
      <c r="H2256" s="125" t="s">
        <v>10</v>
      </c>
    </row>
    <row r="2257" spans="2:8" ht="15" customHeight="1" x14ac:dyDescent="0.3">
      <c r="B2257" s="126">
        <v>45873</v>
      </c>
      <c r="C2257" s="125" t="s">
        <v>188</v>
      </c>
      <c r="D2257" s="125" t="s">
        <v>12</v>
      </c>
      <c r="E2257" s="124" t="str">
        <f>IFERROR(VLOOKUP(C2257,'Base de donnée articles'!$B$8:$C$331,2,FALSE)," ")</f>
        <v>CH055</v>
      </c>
      <c r="F2257" s="125"/>
      <c r="G2257" s="125">
        <v>251</v>
      </c>
      <c r="H2257" s="125" t="s">
        <v>10</v>
      </c>
    </row>
    <row r="2258" spans="2:8" ht="15" customHeight="1" x14ac:dyDescent="0.3">
      <c r="B2258" s="126">
        <v>45873</v>
      </c>
      <c r="C2258" s="125" t="s">
        <v>39</v>
      </c>
      <c r="D2258" s="125" t="s">
        <v>20</v>
      </c>
      <c r="E2258" s="124" t="str">
        <f>IFERROR(VLOOKUP(C2258,'Base de donnée articles'!$B$8:$C$331,2,FALSE)," ")</f>
        <v>GAR004</v>
      </c>
      <c r="F2258" s="125"/>
      <c r="G2258" s="125">
        <v>24</v>
      </c>
      <c r="H2258" s="125" t="s">
        <v>10</v>
      </c>
    </row>
    <row r="2259" spans="2:8" ht="15" customHeight="1" x14ac:dyDescent="0.3">
      <c r="B2259" s="126">
        <v>45873</v>
      </c>
      <c r="C2259" s="125" t="s">
        <v>41</v>
      </c>
      <c r="D2259" s="125" t="s">
        <v>20</v>
      </c>
      <c r="E2259" s="124" t="str">
        <f>IFERROR(VLOOKUP(C2259,'Base de donnée articles'!$B$8:$C$331,2,FALSE)," ")</f>
        <v>GAR005</v>
      </c>
      <c r="F2259" s="125"/>
      <c r="G2259" s="125">
        <v>18.5</v>
      </c>
      <c r="H2259" s="125" t="s">
        <v>10</v>
      </c>
    </row>
    <row r="2260" spans="2:8" ht="15" customHeight="1" x14ac:dyDescent="0.3">
      <c r="B2260" s="126">
        <v>45873</v>
      </c>
      <c r="C2260" s="125" t="s">
        <v>7</v>
      </c>
      <c r="D2260" s="125" t="s">
        <v>8</v>
      </c>
      <c r="E2260" s="124" t="str">
        <f>IFERROR(VLOOKUP(C2260,'Base de donnée articles'!$B$8:$C$331,2,FALSE)," ")</f>
        <v>PAT004</v>
      </c>
      <c r="F2260" s="125">
        <v>4</v>
      </c>
      <c r="G2260" s="125"/>
      <c r="H2260" s="125" t="s">
        <v>18</v>
      </c>
    </row>
    <row r="2261" spans="2:8" ht="15" customHeight="1" x14ac:dyDescent="0.3">
      <c r="B2261" s="126">
        <v>45873</v>
      </c>
      <c r="C2261" s="125" t="s">
        <v>28</v>
      </c>
      <c r="D2261" s="125" t="s">
        <v>8</v>
      </c>
      <c r="E2261" s="124" t="str">
        <f>IFERROR(VLOOKUP(C2261,'Base de donnée articles'!$B$8:$C$331,2,FALSE)," ")</f>
        <v>PAT003</v>
      </c>
      <c r="F2261" s="125">
        <v>5</v>
      </c>
      <c r="G2261" s="125"/>
      <c r="H2261" s="125" t="s">
        <v>18</v>
      </c>
    </row>
    <row r="2262" spans="2:8" ht="15" customHeight="1" x14ac:dyDescent="0.3">
      <c r="B2262" s="126">
        <v>45873</v>
      </c>
      <c r="C2262" s="125" t="s">
        <v>30</v>
      </c>
      <c r="D2262" s="125" t="s">
        <v>8</v>
      </c>
      <c r="E2262" s="124" t="str">
        <f>IFERROR(VLOOKUP(C2262,'Base de donnée articles'!$B$8:$C$331,2,FALSE)," ")</f>
        <v>PAT002</v>
      </c>
      <c r="F2262" s="125">
        <v>1</v>
      </c>
      <c r="G2262" s="125"/>
      <c r="H2262" s="125" t="s">
        <v>18</v>
      </c>
    </row>
    <row r="2263" spans="2:8" ht="15" customHeight="1" x14ac:dyDescent="0.3">
      <c r="B2263" s="126">
        <v>45873</v>
      </c>
      <c r="C2263" s="125" t="s">
        <v>75</v>
      </c>
      <c r="D2263" s="125" t="s">
        <v>8</v>
      </c>
      <c r="E2263" s="124" t="str">
        <f>IFERROR(VLOOKUP(C2263,'Base de donnée articles'!$B$8:$C$331,2,FALSE)," ")</f>
        <v>PAT009</v>
      </c>
      <c r="F2263" s="125">
        <v>1</v>
      </c>
      <c r="G2263" s="125"/>
      <c r="H2263" s="125" t="s">
        <v>18</v>
      </c>
    </row>
    <row r="2264" spans="2:8" ht="15" customHeight="1" x14ac:dyDescent="0.3">
      <c r="B2264" s="126">
        <v>45873</v>
      </c>
      <c r="C2264" s="125" t="s">
        <v>101</v>
      </c>
      <c r="D2264" s="125" t="s">
        <v>8</v>
      </c>
      <c r="E2264" s="124" t="str">
        <f>IFERROR(VLOOKUP(C2264,'Base de donnée articles'!$B$8:$C$331,2,FALSE)," ")</f>
        <v>PA011</v>
      </c>
      <c r="F2264" s="125"/>
      <c r="G2264" s="125">
        <v>1</v>
      </c>
      <c r="H2264" s="125" t="s">
        <v>10</v>
      </c>
    </row>
    <row r="2265" spans="2:8" ht="15" customHeight="1" x14ac:dyDescent="0.3">
      <c r="B2265" s="126">
        <v>45873</v>
      </c>
      <c r="C2265" s="125" t="s">
        <v>93</v>
      </c>
      <c r="D2265" s="125" t="s">
        <v>12</v>
      </c>
      <c r="E2265" s="124" t="str">
        <f>IFERROR(VLOOKUP(C2265,'Base de donnée articles'!$B$8:$C$331,2,FALSE)," ")</f>
        <v>CH002</v>
      </c>
      <c r="F2265" s="125"/>
      <c r="G2265" s="125">
        <v>14</v>
      </c>
      <c r="H2265" s="125" t="s">
        <v>10</v>
      </c>
    </row>
    <row r="2266" spans="2:8" ht="15" customHeight="1" x14ac:dyDescent="0.3">
      <c r="B2266" s="126">
        <v>45873</v>
      </c>
      <c r="C2266" s="125" t="s">
        <v>80</v>
      </c>
      <c r="D2266" s="125" t="s">
        <v>71</v>
      </c>
      <c r="E2266" s="124" t="str">
        <f>IFERROR(VLOOKUP(C2266,'Base de donnée articles'!$B$8:$C$331,2,FALSE)," ")</f>
        <v>GAR011</v>
      </c>
      <c r="F2266" s="125"/>
      <c r="G2266" s="125">
        <v>2</v>
      </c>
      <c r="H2266" s="125" t="s">
        <v>10</v>
      </c>
    </row>
    <row r="2267" spans="2:8" ht="15" customHeight="1" x14ac:dyDescent="0.3">
      <c r="B2267" s="126">
        <v>45873</v>
      </c>
      <c r="C2267" s="125" t="s">
        <v>95</v>
      </c>
      <c r="D2267" s="125" t="s">
        <v>12</v>
      </c>
      <c r="E2267" s="124" t="str">
        <f>IFERROR(VLOOKUP(C2267,'Base de donnée articles'!$B$8:$C$331,2,FALSE)," ")</f>
        <v>FRT006</v>
      </c>
      <c r="F2267" s="125"/>
      <c r="G2267" s="125">
        <v>90</v>
      </c>
      <c r="H2267" s="125" t="s">
        <v>10</v>
      </c>
    </row>
    <row r="2268" spans="2:8" ht="15" customHeight="1" x14ac:dyDescent="0.3">
      <c r="B2268" s="126">
        <v>45873</v>
      </c>
      <c r="C2268" s="125" t="s">
        <v>70</v>
      </c>
      <c r="D2268" s="125" t="s">
        <v>71</v>
      </c>
      <c r="E2268" s="124" t="str">
        <f>IFERROR(VLOOKUP(C2268,'Base de donnée articles'!$B$8:$C$331,2,FALSE)," ")</f>
        <v>GAR014</v>
      </c>
      <c r="F2268" s="125"/>
      <c r="G2268" s="125">
        <v>2</v>
      </c>
      <c r="H2268" s="125" t="s">
        <v>10</v>
      </c>
    </row>
    <row r="2269" spans="2:8" ht="15" customHeight="1" x14ac:dyDescent="0.3">
      <c r="B2269" s="126">
        <v>45873</v>
      </c>
      <c r="C2269" s="125" t="s">
        <v>55</v>
      </c>
      <c r="D2269" s="125" t="s">
        <v>12</v>
      </c>
      <c r="E2269" s="124" t="str">
        <f>IFERROR(VLOOKUP(C2269,'Base de donnée articles'!$B$8:$C$331,2,FALSE)," ")</f>
        <v>CH001</v>
      </c>
      <c r="F2269" s="125">
        <v>149</v>
      </c>
      <c r="G2269" s="125"/>
      <c r="H2269" s="125" t="s">
        <v>18</v>
      </c>
    </row>
    <row r="2270" spans="2:8" ht="15" customHeight="1" x14ac:dyDescent="0.3">
      <c r="B2270" s="126">
        <v>45873</v>
      </c>
      <c r="C2270" s="125" t="s">
        <v>57</v>
      </c>
      <c r="D2270" s="125" t="s">
        <v>12</v>
      </c>
      <c r="E2270" s="124" t="str">
        <f>IFERROR(VLOOKUP(C2270,'Base de donnée articles'!$B$8:$C$331,2,FALSE)," ")</f>
        <v>CH007</v>
      </c>
      <c r="F2270" s="125">
        <v>200</v>
      </c>
      <c r="G2270" s="125"/>
      <c r="H2270" s="125" t="s">
        <v>18</v>
      </c>
    </row>
    <row r="2271" spans="2:8" ht="15" customHeight="1" x14ac:dyDescent="0.3">
      <c r="B2271" s="126">
        <v>45873</v>
      </c>
      <c r="C2271" s="125" t="s">
        <v>45</v>
      </c>
      <c r="D2271" s="125" t="s">
        <v>12</v>
      </c>
      <c r="E2271" s="124" t="str">
        <f>IFERROR(VLOOKUP(C2271,'Base de donnée articles'!$B$8:$C$331,2,FALSE)," ")</f>
        <v>CH009</v>
      </c>
      <c r="F2271" s="125">
        <v>800</v>
      </c>
      <c r="G2271" s="125"/>
      <c r="H2271" s="125" t="s">
        <v>18</v>
      </c>
    </row>
    <row r="2272" spans="2:8" ht="15" customHeight="1" x14ac:dyDescent="0.3">
      <c r="B2272" s="126">
        <v>45873</v>
      </c>
      <c r="C2272" s="125" t="s">
        <v>126</v>
      </c>
      <c r="D2272" s="125" t="s">
        <v>12</v>
      </c>
      <c r="E2272" s="124" t="str">
        <f>IFERROR(VLOOKUP(C2272,'Base de donnée articles'!$B$8:$C$331,2,FALSE)," ")</f>
        <v>CH071</v>
      </c>
      <c r="F2272" s="125"/>
      <c r="G2272" s="125">
        <v>8</v>
      </c>
      <c r="H2272" s="125" t="s">
        <v>10</v>
      </c>
    </row>
    <row r="2273" spans="2:8" ht="15" customHeight="1" x14ac:dyDescent="0.3">
      <c r="B2273" s="126">
        <v>45873</v>
      </c>
      <c r="C2273" s="125" t="s">
        <v>108</v>
      </c>
      <c r="D2273" s="125" t="s">
        <v>113</v>
      </c>
      <c r="E2273" s="124" t="str">
        <f>IFERROR(VLOOKUP(C2273,'Base de donnée articles'!$B$8:$C$331,2,FALSE)," ")</f>
        <v>CIT</v>
      </c>
      <c r="F2273" s="125"/>
      <c r="G2273" s="125">
        <v>1</v>
      </c>
      <c r="H2273" s="125" t="s">
        <v>10</v>
      </c>
    </row>
    <row r="2274" spans="2:8" ht="15" customHeight="1" x14ac:dyDescent="0.3">
      <c r="B2274" s="126">
        <v>45873</v>
      </c>
      <c r="C2274" s="125" t="s">
        <v>195</v>
      </c>
      <c r="D2274" s="125" t="s">
        <v>20</v>
      </c>
      <c r="E2274" s="124" t="str">
        <f>IFERROR(VLOOKUP(C2274,'Base de donnée articles'!$B$8:$C$331,2,FALSE)," ")</f>
        <v>VD01</v>
      </c>
      <c r="F2274" s="125"/>
      <c r="G2274" s="125">
        <v>5.96</v>
      </c>
      <c r="H2274" s="125" t="s">
        <v>10</v>
      </c>
    </row>
    <row r="2275" spans="2:8" ht="15" customHeight="1" x14ac:dyDescent="0.3">
      <c r="B2275" s="126">
        <v>45878</v>
      </c>
      <c r="C2275" s="125" t="s">
        <v>93</v>
      </c>
      <c r="D2275" s="125" t="s">
        <v>12</v>
      </c>
      <c r="E2275" s="124" t="str">
        <f>IFERROR(VLOOKUP(C2275,'Base de donnée articles'!$B$8:$C$331,2,FALSE)," ")</f>
        <v>CH002</v>
      </c>
      <c r="F2275" s="125"/>
      <c r="G2275" s="125">
        <v>6</v>
      </c>
      <c r="H2275" s="125" t="s">
        <v>10</v>
      </c>
    </row>
    <row r="2276" spans="2:8" ht="15" customHeight="1" x14ac:dyDescent="0.3">
      <c r="B2276" s="126">
        <v>45878</v>
      </c>
      <c r="C2276" s="125" t="s">
        <v>126</v>
      </c>
      <c r="D2276" s="125" t="s">
        <v>12</v>
      </c>
      <c r="E2276" s="124" t="str">
        <f>IFERROR(VLOOKUP(C2276,'Base de donnée articles'!$B$8:$C$331,2,FALSE)," ")</f>
        <v>CH071</v>
      </c>
      <c r="F2276" s="125">
        <f>5*6</f>
        <v>30</v>
      </c>
      <c r="G2276" s="125"/>
      <c r="H2276" s="125" t="s">
        <v>18</v>
      </c>
    </row>
    <row r="2277" spans="2:8" ht="15" customHeight="1" x14ac:dyDescent="0.3">
      <c r="B2277" s="126">
        <v>45878</v>
      </c>
      <c r="C2277" s="125" t="s">
        <v>151</v>
      </c>
      <c r="D2277" s="125" t="s">
        <v>191</v>
      </c>
      <c r="E2277" s="124" t="str">
        <f>IFERROR(VLOOKUP(C2277,'Base de donnée articles'!$B$8:$C$331,2,FALSE)," ")</f>
        <v>FRT103</v>
      </c>
      <c r="F2277" s="125">
        <v>5</v>
      </c>
      <c r="G2277" s="125"/>
      <c r="H2277" s="125" t="s">
        <v>18</v>
      </c>
    </row>
    <row r="2278" spans="2:8" ht="15" customHeight="1" x14ac:dyDescent="0.3">
      <c r="B2278" s="126">
        <v>45883</v>
      </c>
      <c r="C2278" s="125" t="s">
        <v>30</v>
      </c>
      <c r="D2278" s="125" t="s">
        <v>8</v>
      </c>
      <c r="E2278" s="124" t="str">
        <f>IFERROR(VLOOKUP(C2278,'Base de donnée articles'!$B$8:$C$331,2,FALSE)," ")</f>
        <v>PAT002</v>
      </c>
      <c r="F2278" s="125"/>
      <c r="G2278" s="125">
        <v>1</v>
      </c>
      <c r="H2278" s="125" t="s">
        <v>10</v>
      </c>
    </row>
    <row r="2279" spans="2:8" ht="15" customHeight="1" x14ac:dyDescent="0.3">
      <c r="B2279" s="126">
        <v>45883</v>
      </c>
      <c r="C2279" s="125" t="s">
        <v>28</v>
      </c>
      <c r="D2279" s="125" t="s">
        <v>8</v>
      </c>
      <c r="E2279" s="124" t="str">
        <f>IFERROR(VLOOKUP(C2279,'Base de donnée articles'!$B$8:$C$331,2,FALSE)," ")</f>
        <v>PAT003</v>
      </c>
      <c r="F2279" s="125"/>
      <c r="G2279" s="125">
        <v>2</v>
      </c>
      <c r="H2279" s="125" t="s">
        <v>10</v>
      </c>
    </row>
    <row r="2280" spans="2:8" ht="15" customHeight="1" x14ac:dyDescent="0.3">
      <c r="B2280" s="126">
        <v>45883</v>
      </c>
      <c r="C2280" s="125" t="s">
        <v>7</v>
      </c>
      <c r="D2280" s="125" t="s">
        <v>8</v>
      </c>
      <c r="E2280" s="124" t="str">
        <f>IFERROR(VLOOKUP(C2280,'Base de donnée articles'!$B$8:$C$331,2,FALSE)," ")</f>
        <v>PAT004</v>
      </c>
      <c r="F2280" s="125"/>
      <c r="G2280" s="125">
        <v>1</v>
      </c>
      <c r="H2280" s="125" t="s">
        <v>10</v>
      </c>
    </row>
    <row r="2281" spans="2:8" ht="15" customHeight="1" x14ac:dyDescent="0.3">
      <c r="B2281" s="126">
        <v>45883</v>
      </c>
      <c r="C2281" s="125" t="s">
        <v>75</v>
      </c>
      <c r="D2281" s="125" t="s">
        <v>8</v>
      </c>
      <c r="E2281" s="124" t="str">
        <f>IFERROR(VLOOKUP(C2281,'Base de donnée articles'!$B$8:$C$331,2,FALSE)," ")</f>
        <v>PAT009</v>
      </c>
      <c r="F2281" s="125"/>
      <c r="G2281" s="125">
        <v>1</v>
      </c>
      <c r="H2281" s="125" t="s">
        <v>10</v>
      </c>
    </row>
    <row r="2282" spans="2:8" ht="15" customHeight="1" x14ac:dyDescent="0.3">
      <c r="B2282" s="126">
        <v>45883</v>
      </c>
      <c r="C2282" s="125" t="s">
        <v>43</v>
      </c>
      <c r="D2282" s="125" t="s">
        <v>20</v>
      </c>
      <c r="E2282" s="124" t="str">
        <f>IFERROR(VLOOKUP(C2282,'Base de donnée articles'!$B$8:$C$331,2,FALSE)," ")</f>
        <v>SAU011</v>
      </c>
      <c r="F2282" s="125"/>
      <c r="G2282" s="125">
        <v>6</v>
      </c>
      <c r="H2282" s="125" t="s">
        <v>10</v>
      </c>
    </row>
    <row r="2283" spans="2:8" ht="15" customHeight="1" x14ac:dyDescent="0.3">
      <c r="B2283" s="126">
        <v>45883</v>
      </c>
      <c r="C2283" s="125" t="s">
        <v>43</v>
      </c>
      <c r="D2283" s="125" t="s">
        <v>20</v>
      </c>
      <c r="E2283" s="124" t="str">
        <f>IFERROR(VLOOKUP(C2283,'Base de donnée articles'!$B$8:$C$331,2,FALSE)," ")</f>
        <v>SAU011</v>
      </c>
      <c r="F2283" s="125">
        <v>13</v>
      </c>
      <c r="G2283" s="125"/>
      <c r="H2283" s="125" t="s">
        <v>18</v>
      </c>
    </row>
    <row r="2284" spans="2:8" ht="15" customHeight="1" x14ac:dyDescent="0.3">
      <c r="B2284" s="126">
        <v>45883</v>
      </c>
      <c r="C2284" s="125" t="s">
        <v>188</v>
      </c>
      <c r="D2284" s="125" t="s">
        <v>12</v>
      </c>
      <c r="E2284" s="124" t="str">
        <f>IFERROR(VLOOKUP(C2284,'Base de donnée articles'!$B$8:$C$331,2,FALSE)," ")</f>
        <v>CH055</v>
      </c>
      <c r="F2284" s="125"/>
      <c r="G2284" s="125">
        <v>99</v>
      </c>
      <c r="H2284" s="125" t="s">
        <v>10</v>
      </c>
    </row>
    <row r="2285" spans="2:8" ht="15" customHeight="1" x14ac:dyDescent="0.3">
      <c r="B2285" s="126">
        <v>45883</v>
      </c>
      <c r="C2285" s="125" t="s">
        <v>77</v>
      </c>
      <c r="D2285" s="125" t="s">
        <v>191</v>
      </c>
      <c r="E2285" s="124" t="str">
        <f>IFERROR(VLOOKUP(C2285,'Base de donnée articles'!$B$8:$C$331,2,FALSE)," ")</f>
        <v>SAU012</v>
      </c>
      <c r="F2285" s="125"/>
      <c r="G2285" s="125">
        <v>0.24</v>
      </c>
      <c r="H2285" s="125" t="s">
        <v>10</v>
      </c>
    </row>
    <row r="2286" spans="2:8" ht="15" customHeight="1" x14ac:dyDescent="0.3">
      <c r="B2286" s="126">
        <v>45883</v>
      </c>
      <c r="C2286" s="125" t="s">
        <v>73</v>
      </c>
      <c r="D2286" s="125" t="s">
        <v>71</v>
      </c>
      <c r="E2286" s="124" t="str">
        <f>IFERROR(VLOOKUP(C2286,'Base de donnée articles'!$B$8:$C$331,2,FALSE)," ")</f>
        <v>GAR007</v>
      </c>
      <c r="F2286" s="125"/>
      <c r="G2286" s="125">
        <v>2</v>
      </c>
      <c r="H2286" s="125" t="s">
        <v>10</v>
      </c>
    </row>
    <row r="2287" spans="2:8" ht="15" customHeight="1" x14ac:dyDescent="0.3">
      <c r="B2287" s="126">
        <v>45883</v>
      </c>
      <c r="C2287" s="125" t="s">
        <v>39</v>
      </c>
      <c r="D2287" s="125" t="s">
        <v>191</v>
      </c>
      <c r="E2287" s="124" t="str">
        <f>IFERROR(VLOOKUP(C2287,'Base de donnée articles'!$B$8:$C$331,2,FALSE)," ")</f>
        <v>GAR004</v>
      </c>
      <c r="F2287" s="125">
        <v>10</v>
      </c>
      <c r="G2287" s="125"/>
      <c r="H2287" s="125" t="s">
        <v>18</v>
      </c>
    </row>
    <row r="2288" spans="2:8" ht="15" customHeight="1" x14ac:dyDescent="0.3">
      <c r="B2288" s="126">
        <v>45883</v>
      </c>
      <c r="C2288" s="125" t="s">
        <v>41</v>
      </c>
      <c r="D2288" s="125" t="s">
        <v>191</v>
      </c>
      <c r="E2288" s="124" t="str">
        <f>IFERROR(VLOOKUP(C2288,'Base de donnée articles'!$B$8:$C$331,2,FALSE)," ")</f>
        <v>GAR005</v>
      </c>
      <c r="F2288" s="125">
        <v>5</v>
      </c>
      <c r="G2288" s="125"/>
      <c r="H2288" s="125" t="s">
        <v>18</v>
      </c>
    </row>
    <row r="2289" spans="2:8" ht="15" customHeight="1" x14ac:dyDescent="0.3">
      <c r="B2289" s="126">
        <v>45883</v>
      </c>
      <c r="C2289" s="125" t="s">
        <v>35</v>
      </c>
      <c r="D2289" s="125" t="s">
        <v>8</v>
      </c>
      <c r="E2289" s="124" t="str">
        <f>IFERROR(VLOOKUP(C2289,'Base de donnée articles'!$B$8:$C$331,2,FALSE)," ")</f>
        <v>CH027</v>
      </c>
      <c r="F2289" s="125"/>
      <c r="G2289" s="125">
        <v>12</v>
      </c>
      <c r="H2289" s="125" t="s">
        <v>10</v>
      </c>
    </row>
    <row r="2290" spans="2:8" ht="15" customHeight="1" x14ac:dyDescent="0.3">
      <c r="B2290" s="126">
        <v>45883</v>
      </c>
      <c r="C2290" s="125" t="s">
        <v>51</v>
      </c>
      <c r="D2290" s="125" t="s">
        <v>191</v>
      </c>
      <c r="E2290" s="124" t="str">
        <f>IFERROR(VLOOKUP(C2290,'Base de donnée articles'!$B$8:$C$331,2,FALSE)," ")</f>
        <v>SAU010</v>
      </c>
      <c r="F2290" s="125"/>
      <c r="G2290" s="125">
        <v>20.001000000000001</v>
      </c>
      <c r="H2290" s="125" t="s">
        <v>10</v>
      </c>
    </row>
    <row r="2291" spans="2:8" ht="15" customHeight="1" x14ac:dyDescent="0.3">
      <c r="B2291" s="126">
        <v>45883</v>
      </c>
      <c r="C2291" s="125" t="s">
        <v>93</v>
      </c>
      <c r="D2291" s="125" t="s">
        <v>12</v>
      </c>
      <c r="E2291" s="124" t="str">
        <f>IFERROR(VLOOKUP(C2291,'Base de donnée articles'!$B$8:$C$331,2,FALSE)," ")</f>
        <v>CH002</v>
      </c>
      <c r="F2291" s="125"/>
      <c r="G2291" s="125">
        <v>7</v>
      </c>
      <c r="H2291" s="125" t="s">
        <v>10</v>
      </c>
    </row>
    <row r="2292" spans="2:8" ht="15" customHeight="1" x14ac:dyDescent="0.3">
      <c r="B2292" s="126">
        <v>45883</v>
      </c>
      <c r="C2292" s="125" t="s">
        <v>80</v>
      </c>
      <c r="D2292" s="125" t="s">
        <v>71</v>
      </c>
      <c r="E2292" s="124" t="str">
        <f>IFERROR(VLOOKUP(C2292,'Base de donnée articles'!$B$8:$C$331,2,FALSE)," ")</f>
        <v>GAR011</v>
      </c>
      <c r="F2292" s="125">
        <v>1</v>
      </c>
      <c r="G2292" s="125"/>
      <c r="H2292" s="125" t="s">
        <v>18</v>
      </c>
    </row>
    <row r="2293" spans="2:8" ht="15" customHeight="1" x14ac:dyDescent="0.3">
      <c r="B2293" s="126">
        <v>45883</v>
      </c>
      <c r="C2293" s="125" t="s">
        <v>70</v>
      </c>
      <c r="D2293" s="125" t="s">
        <v>71</v>
      </c>
      <c r="E2293" s="124" t="str">
        <f>IFERROR(VLOOKUP(C2293,'Base de donnée articles'!$B$8:$C$331,2,FALSE)," ")</f>
        <v>GAR014</v>
      </c>
      <c r="F2293" s="125"/>
      <c r="G2293" s="125">
        <v>1</v>
      </c>
      <c r="H2293" s="125" t="s">
        <v>10</v>
      </c>
    </row>
    <row r="2294" spans="2:8" ht="15" customHeight="1" x14ac:dyDescent="0.3">
      <c r="B2294" s="126">
        <v>45883</v>
      </c>
      <c r="C2294" s="125" t="s">
        <v>151</v>
      </c>
      <c r="D2294" s="125" t="s">
        <v>191</v>
      </c>
      <c r="E2294" s="124" t="str">
        <f>IFERROR(VLOOKUP(C2294,'Base de donnée articles'!$B$8:$C$331,2,FALSE)," ")</f>
        <v>FRT103</v>
      </c>
      <c r="F2294" s="125"/>
      <c r="G2294" s="125">
        <v>5</v>
      </c>
      <c r="H2294" s="125" t="s">
        <v>10</v>
      </c>
    </row>
    <row r="2295" spans="2:8" ht="15" customHeight="1" x14ac:dyDescent="0.3">
      <c r="B2295" s="126">
        <v>45883</v>
      </c>
      <c r="C2295" s="125" t="s">
        <v>32</v>
      </c>
      <c r="D2295" s="125" t="s">
        <v>33</v>
      </c>
      <c r="E2295" s="124" t="str">
        <f>IFERROR(VLOOKUP(C2295,'Base de donnée articles'!$B$8:$C$331,2,FALSE)," ")</f>
        <v>MAY</v>
      </c>
      <c r="F2295" s="125"/>
      <c r="G2295" s="125">
        <v>2</v>
      </c>
      <c r="H2295" s="125" t="s">
        <v>10</v>
      </c>
    </row>
    <row r="2296" spans="2:8" ht="15" customHeight="1" x14ac:dyDescent="0.3">
      <c r="B2296" s="126">
        <v>45883</v>
      </c>
      <c r="C2296" s="125" t="s">
        <v>117</v>
      </c>
      <c r="D2296" s="125" t="s">
        <v>33</v>
      </c>
      <c r="E2296" s="124" t="str">
        <f>IFERROR(VLOOKUP(C2296,'Base de donnée articles'!$B$8:$C$331,2,FALSE)," ")</f>
        <v>KET</v>
      </c>
      <c r="F2296" s="125"/>
      <c r="G2296" s="125">
        <v>2</v>
      </c>
      <c r="H2296" s="125" t="s">
        <v>10</v>
      </c>
    </row>
    <row r="2297" spans="2:8" ht="15" customHeight="1" x14ac:dyDescent="0.3">
      <c r="B2297" s="126">
        <v>45883</v>
      </c>
      <c r="C2297" s="125" t="s">
        <v>55</v>
      </c>
      <c r="D2297" s="125" t="s">
        <v>12</v>
      </c>
      <c r="E2297" s="124" t="str">
        <f>IFERROR(VLOOKUP(C2297,'Base de donnée articles'!$B$8:$C$331,2,FALSE)," ")</f>
        <v>CH001</v>
      </c>
      <c r="F2297" s="125"/>
      <c r="G2297" s="125">
        <v>30</v>
      </c>
      <c r="H2297" s="125" t="s">
        <v>10</v>
      </c>
    </row>
    <row r="2298" spans="2:8" ht="15" customHeight="1" x14ac:dyDescent="0.3">
      <c r="B2298" s="126">
        <v>45883</v>
      </c>
      <c r="C2298" s="125" t="s">
        <v>57</v>
      </c>
      <c r="D2298" s="125" t="s">
        <v>12</v>
      </c>
      <c r="E2298" s="124" t="str">
        <f>IFERROR(VLOOKUP(C2298,'Base de donnée articles'!$B$8:$C$331,2,FALSE)," ")</f>
        <v>CH007</v>
      </c>
      <c r="F2298" s="125">
        <v>2120</v>
      </c>
      <c r="G2298" s="125"/>
      <c r="H2298" s="125" t="s">
        <v>18</v>
      </c>
    </row>
    <row r="2299" spans="2:8" ht="15" customHeight="1" x14ac:dyDescent="0.3">
      <c r="B2299" s="126">
        <v>45883</v>
      </c>
      <c r="C2299" s="125" t="s">
        <v>61</v>
      </c>
      <c r="D2299" s="125" t="s">
        <v>20</v>
      </c>
      <c r="E2299" s="124" t="str">
        <f>IFERROR(VLOOKUP(C2299,'Base de donnée articles'!$B$8:$C$331,2,FALSE)," ")</f>
        <v>CH070</v>
      </c>
      <c r="F2299" s="125"/>
      <c r="G2299" s="125">
        <v>8.9990000000000006</v>
      </c>
      <c r="H2299" s="125" t="s">
        <v>10</v>
      </c>
    </row>
    <row r="2300" spans="2:8" ht="15" customHeight="1" x14ac:dyDescent="0.3">
      <c r="B2300" s="126">
        <v>45883</v>
      </c>
      <c r="C2300" s="125" t="s">
        <v>126</v>
      </c>
      <c r="D2300" s="125" t="s">
        <v>12</v>
      </c>
      <c r="E2300" s="124" t="str">
        <f>IFERROR(VLOOKUP(C2300,'Base de donnée articles'!$B$8:$C$331,2,FALSE)," ")</f>
        <v>CH071</v>
      </c>
      <c r="F2300" s="125"/>
      <c r="G2300" s="125">
        <v>11</v>
      </c>
      <c r="H2300" s="125" t="s">
        <v>10</v>
      </c>
    </row>
    <row r="2301" spans="2:8" ht="15" customHeight="1" x14ac:dyDescent="0.3">
      <c r="B2301" s="126">
        <v>45883</v>
      </c>
      <c r="C2301" s="125" t="s">
        <v>79</v>
      </c>
      <c r="D2301" s="125" t="s">
        <v>20</v>
      </c>
      <c r="E2301" s="124" t="str">
        <f>IFERROR(VLOOKUP(C2301,'Base de donnée articles'!$B$8:$C$331,2,FALSE)," ")</f>
        <v>FRT100</v>
      </c>
      <c r="F2301" s="125"/>
      <c r="G2301" s="125">
        <v>11</v>
      </c>
      <c r="H2301" s="125" t="s">
        <v>10</v>
      </c>
    </row>
    <row r="2302" spans="2:8" ht="15" customHeight="1" x14ac:dyDescent="0.3">
      <c r="B2302" s="126">
        <v>45883</v>
      </c>
      <c r="C2302" s="125" t="s">
        <v>16</v>
      </c>
      <c r="D2302" s="125" t="s">
        <v>12</v>
      </c>
      <c r="E2302" s="124" t="str">
        <f>IFERROR(VLOOKUP(C2302,'Base de donnée articles'!$B$8:$C$331,2,FALSE)," ")</f>
        <v>GAZ</v>
      </c>
      <c r="F2302" s="125">
        <v>3</v>
      </c>
      <c r="G2302" s="125"/>
      <c r="H2302" s="125" t="s">
        <v>18</v>
      </c>
    </row>
    <row r="2303" spans="2:8" ht="15" customHeight="1" x14ac:dyDescent="0.3">
      <c r="B2303" s="126">
        <v>45883</v>
      </c>
      <c r="C2303" s="125" t="s">
        <v>26</v>
      </c>
      <c r="D2303" s="125" t="s">
        <v>20</v>
      </c>
      <c r="E2303" s="124" t="str">
        <f>IFERROR(VLOOKUP(C2303,'Base de donnée articles'!$B$8:$C$331,2,FALSE)," ")</f>
        <v>FRT101</v>
      </c>
      <c r="F2303" s="125">
        <v>5</v>
      </c>
      <c r="G2303" s="125"/>
      <c r="H2303" s="125" t="s">
        <v>18</v>
      </c>
    </row>
    <row r="2304" spans="2:8" ht="15" customHeight="1" x14ac:dyDescent="0.3">
      <c r="B2304" s="126">
        <v>45883</v>
      </c>
      <c r="C2304" s="125" t="s">
        <v>63</v>
      </c>
      <c r="D2304" s="125" t="s">
        <v>20</v>
      </c>
      <c r="E2304" s="124" t="str">
        <f>IFERROR(VLOOKUP(C2304,'Base de donnée articles'!$B$8:$C$331,2,FALSE)," ")</f>
        <v>FRT200</v>
      </c>
      <c r="F2304" s="125"/>
      <c r="G2304" s="125">
        <v>5</v>
      </c>
      <c r="H2304" s="125" t="s">
        <v>10</v>
      </c>
    </row>
    <row r="2305" spans="2:8" ht="15" customHeight="1" x14ac:dyDescent="0.3">
      <c r="B2305" s="126">
        <v>45883</v>
      </c>
      <c r="C2305" s="125" t="s">
        <v>83</v>
      </c>
      <c r="D2305" s="125" t="s">
        <v>20</v>
      </c>
      <c r="E2305" s="124" t="str">
        <f>IFERROR(VLOOKUP(C2305,'Base de donnée articles'!$B$8:$C$331,2,FALSE)," ")</f>
        <v>CH013</v>
      </c>
      <c r="F2305" s="125"/>
      <c r="G2305" s="125">
        <v>20</v>
      </c>
      <c r="H2305" s="125" t="s">
        <v>10</v>
      </c>
    </row>
    <row r="2306" spans="2:8" ht="15" customHeight="1" x14ac:dyDescent="0.3">
      <c r="B2306" s="126">
        <v>45883</v>
      </c>
      <c r="C2306" s="125" t="s">
        <v>90</v>
      </c>
      <c r="D2306" s="125" t="s">
        <v>20</v>
      </c>
      <c r="E2306" s="124" t="str">
        <f>IFERROR(VLOOKUP(C2306,'Base de donnée articles'!$B$8:$C$331,2,FALSE)," ")</f>
        <v>CH015</v>
      </c>
      <c r="F2306" s="125"/>
      <c r="G2306" s="125">
        <v>6</v>
      </c>
      <c r="H2306" s="125" t="s">
        <v>10</v>
      </c>
    </row>
    <row r="2307" spans="2:8" ht="15" customHeight="1" x14ac:dyDescent="0.3">
      <c r="B2307" s="126">
        <v>45883</v>
      </c>
      <c r="C2307" s="125" t="s">
        <v>101</v>
      </c>
      <c r="D2307" s="125" t="s">
        <v>8</v>
      </c>
      <c r="E2307" s="124" t="str">
        <f>IFERROR(VLOOKUP(C2307,'Base de donnée articles'!$B$8:$C$331,2,FALSE)," ")</f>
        <v>PA011</v>
      </c>
      <c r="F2307" s="125"/>
      <c r="G2307" s="125">
        <v>1</v>
      </c>
      <c r="H2307" s="125" t="s">
        <v>10</v>
      </c>
    </row>
    <row r="2308" spans="2:8" ht="15" customHeight="1" x14ac:dyDescent="0.3">
      <c r="B2308" s="126">
        <v>45883</v>
      </c>
      <c r="C2308" s="125" t="s">
        <v>194</v>
      </c>
      <c r="D2308" s="125" t="s">
        <v>12</v>
      </c>
      <c r="E2308" s="124" t="str">
        <f>IFERROR(VLOOKUP(C2308,'Base de donnée articles'!$B$8:$C$331,2,FALSE)," ")</f>
        <v>CH003</v>
      </c>
      <c r="F2308" s="125"/>
      <c r="G2308" s="125">
        <v>2</v>
      </c>
      <c r="H2308" s="125" t="s">
        <v>10</v>
      </c>
    </row>
    <row r="2309" spans="2:8" ht="15" customHeight="1" x14ac:dyDescent="0.3">
      <c r="B2309" s="126">
        <v>45883</v>
      </c>
      <c r="C2309" s="125" t="s">
        <v>108</v>
      </c>
      <c r="D2309" s="125" t="s">
        <v>113</v>
      </c>
      <c r="E2309" s="124" t="str">
        <f>IFERROR(VLOOKUP(C2309,'Base de donnée articles'!$B$8:$C$331,2,FALSE)," ")</f>
        <v>CIT</v>
      </c>
      <c r="F2309" s="125"/>
      <c r="G2309" s="125">
        <v>1</v>
      </c>
      <c r="H2309" s="125" t="s">
        <v>10</v>
      </c>
    </row>
    <row r="2310" spans="2:8" ht="15" customHeight="1" x14ac:dyDescent="0.3">
      <c r="B2310" s="126">
        <v>45883</v>
      </c>
      <c r="C2310" s="125" t="s">
        <v>115</v>
      </c>
      <c r="D2310" s="125" t="s">
        <v>12</v>
      </c>
      <c r="E2310" s="124" t="str">
        <f>IFERROR(VLOOKUP(C2310,'Base de donnée articles'!$B$8:$C$331,2,FALSE)," ")</f>
        <v>KON</v>
      </c>
      <c r="F2310" s="125"/>
      <c r="G2310" s="125">
        <v>2</v>
      </c>
      <c r="H2310" s="125" t="s">
        <v>10</v>
      </c>
    </row>
    <row r="2311" spans="2:8" ht="15" customHeight="1" x14ac:dyDescent="0.3">
      <c r="B2311" s="126">
        <v>45883</v>
      </c>
      <c r="C2311" s="125" t="s">
        <v>198</v>
      </c>
      <c r="D2311" s="125" t="s">
        <v>112</v>
      </c>
      <c r="E2311" s="124" t="str">
        <f>IFERROR(VLOOKUP(C2311,'Base de donnée articles'!$B$8:$C$331,2,FALSE)," ")</f>
        <v>NET004</v>
      </c>
      <c r="F2311" s="125">
        <v>3</v>
      </c>
      <c r="G2311" s="125"/>
      <c r="H2311" s="125" t="s">
        <v>18</v>
      </c>
    </row>
    <row r="2312" spans="2:8" ht="15" customHeight="1" x14ac:dyDescent="0.3">
      <c r="B2312" s="126">
        <v>45883</v>
      </c>
      <c r="C2312" s="125" t="s">
        <v>178</v>
      </c>
      <c r="D2312" s="125" t="s">
        <v>20</v>
      </c>
      <c r="E2312" s="124" t="str">
        <f>IFERROR(VLOOKUP(C2312,'Base de donnée articles'!$B$8:$C$331,2,FALSE)," ")</f>
        <v>LAN</v>
      </c>
      <c r="F2312" s="125"/>
      <c r="G2312" s="125">
        <v>9</v>
      </c>
      <c r="H2312" s="125" t="s">
        <v>10</v>
      </c>
    </row>
    <row r="2313" spans="2:8" ht="15" customHeight="1" x14ac:dyDescent="0.3">
      <c r="B2313" s="126">
        <v>45883</v>
      </c>
      <c r="C2313" s="125" t="s">
        <v>181</v>
      </c>
      <c r="D2313" s="125" t="s">
        <v>20</v>
      </c>
      <c r="E2313" s="124" t="str">
        <f>IFERROR(VLOOKUP(C2313,'Base de donnée articles'!$B$8:$C$331,2,FALSE)," ")</f>
        <v>PAT008</v>
      </c>
      <c r="F2313" s="125"/>
      <c r="G2313" s="125">
        <v>3</v>
      </c>
      <c r="H2313" s="125" t="s">
        <v>10</v>
      </c>
    </row>
    <row r="2314" spans="2:8" ht="15" customHeight="1" x14ac:dyDescent="0.3">
      <c r="B2314" s="126">
        <v>45883</v>
      </c>
      <c r="C2314" s="125" t="s">
        <v>183</v>
      </c>
      <c r="D2314" s="125" t="s">
        <v>20</v>
      </c>
      <c r="E2314" s="124" t="str">
        <f>IFERROR(VLOOKUP(C2314,'Base de donnée articles'!$B$8:$C$331,2,FALSE)," ")</f>
        <v>FAR</v>
      </c>
      <c r="F2314" s="125"/>
      <c r="G2314" s="125">
        <v>12</v>
      </c>
      <c r="H2314" s="125" t="s">
        <v>10</v>
      </c>
    </row>
    <row r="2315" spans="2:8" ht="15" customHeight="1" x14ac:dyDescent="0.3">
      <c r="B2315" s="126">
        <v>45883</v>
      </c>
      <c r="C2315" s="125" t="s">
        <v>187</v>
      </c>
      <c r="D2315" s="125" t="s">
        <v>20</v>
      </c>
      <c r="E2315" s="124" t="str">
        <f>IFERROR(VLOOKUP(C2315,'Base de donnée articles'!$B$8:$C$331,2,FALSE)," ")</f>
        <v>SEL</v>
      </c>
      <c r="F2315" s="125"/>
      <c r="G2315" s="125">
        <v>4</v>
      </c>
      <c r="H2315" s="125" t="s">
        <v>10</v>
      </c>
    </row>
    <row r="2316" spans="2:8" ht="15" customHeight="1" x14ac:dyDescent="0.3">
      <c r="B2316" s="126">
        <v>45890</v>
      </c>
      <c r="C2316" s="125" t="s">
        <v>28</v>
      </c>
      <c r="D2316" s="125" t="s">
        <v>8</v>
      </c>
      <c r="E2316" s="124" t="str">
        <f>IFERROR(VLOOKUP(C2316,'Base de donnée articles'!$B$8:$C$331,2,FALSE)," ")</f>
        <v>PAT003</v>
      </c>
      <c r="F2316" s="125"/>
      <c r="G2316" s="125">
        <v>4</v>
      </c>
      <c r="H2316" s="125" t="s">
        <v>10</v>
      </c>
    </row>
    <row r="2317" spans="2:8" ht="15" customHeight="1" x14ac:dyDescent="0.3">
      <c r="B2317" s="126">
        <v>45890</v>
      </c>
      <c r="C2317" s="125" t="s">
        <v>7</v>
      </c>
      <c r="D2317" s="125" t="s">
        <v>8</v>
      </c>
      <c r="E2317" s="124" t="str">
        <f>IFERROR(VLOOKUP(C2317,'Base de donnée articles'!$B$8:$C$331,2,FALSE)," ")</f>
        <v>PAT004</v>
      </c>
      <c r="F2317" s="125"/>
      <c r="G2317" s="125">
        <v>1</v>
      </c>
      <c r="H2317" s="125" t="s">
        <v>10</v>
      </c>
    </row>
    <row r="2318" spans="2:8" ht="15" customHeight="1" x14ac:dyDescent="0.3">
      <c r="B2318" s="126">
        <v>45890</v>
      </c>
      <c r="C2318" s="125" t="s">
        <v>75</v>
      </c>
      <c r="D2318" s="125" t="s">
        <v>8</v>
      </c>
      <c r="E2318" s="124" t="str">
        <f>IFERROR(VLOOKUP(C2318,'Base de donnée articles'!$B$8:$C$331,2,FALSE)," ")</f>
        <v>PAT009</v>
      </c>
      <c r="F2318" s="125"/>
      <c r="G2318" s="125">
        <v>1</v>
      </c>
      <c r="H2318" s="125" t="s">
        <v>10</v>
      </c>
    </row>
    <row r="2319" spans="2:8" ht="15" customHeight="1" x14ac:dyDescent="0.3">
      <c r="B2319" s="126">
        <v>45890</v>
      </c>
      <c r="C2319" s="20" t="s">
        <v>188</v>
      </c>
      <c r="D2319" s="125" t="s">
        <v>12</v>
      </c>
      <c r="E2319" s="124" t="str">
        <f>IFERROR(VLOOKUP(C2319,'Base de donnée articles'!$B$8:$C$331,2,FALSE)," ")</f>
        <v>CH055</v>
      </c>
      <c r="F2319" s="125">
        <v>48</v>
      </c>
      <c r="G2319" s="125"/>
      <c r="H2319" s="125" t="s">
        <v>18</v>
      </c>
    </row>
    <row r="2320" spans="2:8" ht="15" customHeight="1" x14ac:dyDescent="0.3">
      <c r="B2320" s="126">
        <v>45890</v>
      </c>
      <c r="C2320" s="125" t="s">
        <v>43</v>
      </c>
      <c r="D2320" s="125" t="s">
        <v>20</v>
      </c>
      <c r="E2320" s="124" t="str">
        <f>IFERROR(VLOOKUP(C2320,'Base de donnée articles'!$B$8:$C$331,2,FALSE)," ")</f>
        <v>SAU011</v>
      </c>
      <c r="F2320" s="125"/>
      <c r="G2320" s="125">
        <v>1</v>
      </c>
      <c r="H2320" s="125" t="s">
        <v>10</v>
      </c>
    </row>
    <row r="2321" spans="2:8" ht="15" customHeight="1" x14ac:dyDescent="0.3">
      <c r="B2321" s="126">
        <v>45890</v>
      </c>
      <c r="C2321" s="125" t="s">
        <v>77</v>
      </c>
      <c r="D2321" s="125" t="s">
        <v>20</v>
      </c>
      <c r="E2321" s="124" t="str">
        <f>IFERROR(VLOOKUP(C2321,'Base de donnée articles'!$B$8:$C$331,2,FALSE)," ")</f>
        <v>SAU012</v>
      </c>
      <c r="F2321" s="125">
        <f>2.93-1.26</f>
        <v>1.6700000000000002</v>
      </c>
      <c r="G2321" s="125"/>
      <c r="H2321" s="125" t="s">
        <v>18</v>
      </c>
    </row>
    <row r="2322" spans="2:8" ht="15" customHeight="1" x14ac:dyDescent="0.3">
      <c r="B2322" s="126">
        <v>45890</v>
      </c>
      <c r="C2322" s="125" t="s">
        <v>51</v>
      </c>
      <c r="D2322" s="125" t="s">
        <v>20</v>
      </c>
      <c r="E2322" s="124" t="str">
        <f>IFERROR(VLOOKUP(C2322,'Base de donnée articles'!$B$8:$C$331,2,FALSE)," ")</f>
        <v>SAU010</v>
      </c>
      <c r="F2322" s="125">
        <v>5</v>
      </c>
      <c r="G2322" s="125"/>
      <c r="H2322" s="125" t="s">
        <v>18</v>
      </c>
    </row>
    <row r="2323" spans="2:8" ht="15" customHeight="1" x14ac:dyDescent="0.3">
      <c r="B2323" s="126">
        <v>45890</v>
      </c>
      <c r="C2323" s="39" t="s">
        <v>39</v>
      </c>
      <c r="D2323" s="125" t="s">
        <v>20</v>
      </c>
      <c r="E2323" s="124" t="str">
        <f>IFERROR(VLOOKUP(C2323,'Base de donnée articles'!$B$8:$C$331,2,FALSE)," ")</f>
        <v>GAR004</v>
      </c>
      <c r="F2323" s="125">
        <v>20</v>
      </c>
      <c r="G2323" s="125"/>
      <c r="H2323" s="125" t="s">
        <v>18</v>
      </c>
    </row>
    <row r="2324" spans="2:8" ht="15" customHeight="1" x14ac:dyDescent="0.3">
      <c r="B2324" s="126">
        <v>45890</v>
      </c>
      <c r="C2324" s="26" t="s">
        <v>41</v>
      </c>
      <c r="D2324" s="125" t="s">
        <v>20</v>
      </c>
      <c r="E2324" s="124" t="str">
        <f>IFERROR(VLOOKUP(C2324,'Base de donnée articles'!$B$8:$C$331,2,FALSE)," ")</f>
        <v>GAR005</v>
      </c>
      <c r="F2324" s="125">
        <v>10</v>
      </c>
      <c r="G2324" s="125"/>
      <c r="H2324" s="125" t="s">
        <v>18</v>
      </c>
    </row>
    <row r="2325" spans="2:8" ht="15" customHeight="1" x14ac:dyDescent="0.3">
      <c r="B2325" s="126">
        <v>45890</v>
      </c>
      <c r="C2325" s="39" t="s">
        <v>39</v>
      </c>
      <c r="D2325" s="125" t="s">
        <v>20</v>
      </c>
      <c r="E2325" s="124" t="str">
        <f>IFERROR(VLOOKUP(C2325,'Base de donnée articles'!$B$8:$C$331,2,FALSE)," ")</f>
        <v>GAR004</v>
      </c>
      <c r="F2325" s="125"/>
      <c r="G2325" s="125">
        <v>15</v>
      </c>
      <c r="H2325" s="125" t="s">
        <v>10</v>
      </c>
    </row>
    <row r="2326" spans="2:8" ht="15" customHeight="1" x14ac:dyDescent="0.3">
      <c r="B2326" s="126">
        <v>45890</v>
      </c>
      <c r="C2326" s="26" t="s">
        <v>41</v>
      </c>
      <c r="D2326" s="125" t="s">
        <v>20</v>
      </c>
      <c r="E2326" s="124" t="str">
        <f>IFERROR(VLOOKUP(C2326,'Base de donnée articles'!$B$8:$C$331,2,FALSE)," ")</f>
        <v>GAR005</v>
      </c>
      <c r="F2326" s="125"/>
      <c r="G2326" s="125">
        <v>5</v>
      </c>
      <c r="H2326" s="125" t="s">
        <v>10</v>
      </c>
    </row>
    <row r="2327" spans="2:8" ht="15" customHeight="1" x14ac:dyDescent="0.3">
      <c r="B2327" s="126">
        <v>45890</v>
      </c>
      <c r="C2327" s="125" t="s">
        <v>199</v>
      </c>
      <c r="D2327" s="125" t="s">
        <v>12</v>
      </c>
      <c r="E2327" s="18" t="s">
        <v>94</v>
      </c>
      <c r="F2327" s="125"/>
      <c r="G2327" s="125">
        <v>10</v>
      </c>
      <c r="H2327" s="125" t="s">
        <v>10</v>
      </c>
    </row>
    <row r="2328" spans="2:8" ht="15" customHeight="1" x14ac:dyDescent="0.3">
      <c r="B2328" s="126">
        <v>45890</v>
      </c>
      <c r="C2328" s="125" t="s">
        <v>95</v>
      </c>
      <c r="D2328" s="125" t="s">
        <v>12</v>
      </c>
      <c r="E2328" s="124" t="str">
        <f>IFERROR(VLOOKUP(C2328,'Base de donnée articles'!$B$8:$C$331,2,FALSE)," ")</f>
        <v>FRT006</v>
      </c>
      <c r="F2328" s="125"/>
      <c r="G2328" s="125">
        <v>30</v>
      </c>
      <c r="H2328" s="125" t="s">
        <v>10</v>
      </c>
    </row>
    <row r="2329" spans="2:8" ht="15" customHeight="1" x14ac:dyDescent="0.3">
      <c r="B2329" s="126">
        <v>45890</v>
      </c>
      <c r="C2329" s="125" t="s">
        <v>95</v>
      </c>
      <c r="D2329" s="125" t="s">
        <v>12</v>
      </c>
      <c r="E2329" s="124" t="str">
        <f>IFERROR(VLOOKUP(C2329,'Base de donnée articles'!$B$8:$C$331,2,FALSE)," ")</f>
        <v>FRT006</v>
      </c>
      <c r="F2329" s="125">
        <v>90</v>
      </c>
      <c r="G2329" s="125"/>
      <c r="H2329" s="125" t="s">
        <v>18</v>
      </c>
    </row>
    <row r="2330" spans="2:8" ht="15" customHeight="1" x14ac:dyDescent="0.3">
      <c r="B2330" s="126">
        <v>45890</v>
      </c>
      <c r="C2330" s="125" t="s">
        <v>61</v>
      </c>
      <c r="D2330" s="125" t="s">
        <v>20</v>
      </c>
      <c r="E2330" s="124" t="str">
        <f>IFERROR(VLOOKUP(C2330,'Base de donnée articles'!$B$8:$C$331,2,FALSE)," ")</f>
        <v>CH070</v>
      </c>
      <c r="F2330" s="125">
        <v>4</v>
      </c>
      <c r="G2330" s="125"/>
      <c r="H2330" s="125" t="s">
        <v>18</v>
      </c>
    </row>
    <row r="2331" spans="2:8" ht="15" customHeight="1" x14ac:dyDescent="0.3">
      <c r="B2331" s="126">
        <v>45890</v>
      </c>
      <c r="C2331" s="14" t="s">
        <v>126</v>
      </c>
      <c r="D2331" s="125" t="s">
        <v>12</v>
      </c>
      <c r="E2331" s="124" t="str">
        <f>IFERROR(VLOOKUP(C2331,'Base de donnée articles'!$B$8:$C$331,2,FALSE)," ")</f>
        <v>CH071</v>
      </c>
      <c r="F2331" s="125"/>
      <c r="G2331" s="125">
        <v>19</v>
      </c>
      <c r="H2331" s="125" t="s">
        <v>10</v>
      </c>
    </row>
    <row r="2332" spans="2:8" ht="15" customHeight="1" x14ac:dyDescent="0.3">
      <c r="B2332" s="126">
        <v>45890</v>
      </c>
      <c r="C2332" s="125" t="s">
        <v>16</v>
      </c>
      <c r="D2332" s="125" t="s">
        <v>12</v>
      </c>
      <c r="E2332" s="124" t="str">
        <f>IFERROR(VLOOKUP(C2332,'Base de donnée articles'!$B$8:$C$331,2,FALSE)," ")</f>
        <v>GAZ</v>
      </c>
      <c r="F2332" s="125"/>
      <c r="G2332" s="125">
        <v>3</v>
      </c>
      <c r="H2332" s="125" t="s">
        <v>10</v>
      </c>
    </row>
    <row r="2333" spans="2:8" ht="15" customHeight="1" x14ac:dyDescent="0.3">
      <c r="B2333" s="126">
        <v>45890</v>
      </c>
      <c r="C2333" s="125" t="s">
        <v>26</v>
      </c>
      <c r="D2333" s="125" t="s">
        <v>20</v>
      </c>
      <c r="E2333" s="124" t="str">
        <f>IFERROR(VLOOKUP(C2333,'Base de donnée articles'!$B$8:$C$331,2,FALSE)," ")</f>
        <v>FRT101</v>
      </c>
      <c r="F2333" s="125"/>
      <c r="G2333" s="125">
        <v>5.0049999999999999</v>
      </c>
      <c r="H2333" s="125" t="s">
        <v>10</v>
      </c>
    </row>
    <row r="2334" spans="2:8" ht="15" customHeight="1" x14ac:dyDescent="0.3">
      <c r="B2334" s="126">
        <v>45890</v>
      </c>
      <c r="C2334" s="125" t="s">
        <v>90</v>
      </c>
      <c r="D2334" s="125" t="s">
        <v>191</v>
      </c>
      <c r="E2334" s="124" t="str">
        <f>IFERROR(VLOOKUP(C2334,'Base de donnée articles'!$B$8:$C$331,2,FALSE)," ")</f>
        <v>CH015</v>
      </c>
      <c r="F2334" s="125"/>
      <c r="G2334" s="125">
        <v>4</v>
      </c>
      <c r="H2334" s="125" t="s">
        <v>10</v>
      </c>
    </row>
    <row r="2335" spans="2:8" ht="15" customHeight="1" x14ac:dyDescent="0.3">
      <c r="B2335" s="126">
        <v>45890</v>
      </c>
      <c r="C2335" s="125" t="s">
        <v>115</v>
      </c>
      <c r="D2335" s="125" t="s">
        <v>12</v>
      </c>
      <c r="E2335" s="124" t="str">
        <f>IFERROR(VLOOKUP(C2335,'Base de donnée articles'!$B$8:$C$331,2,FALSE)," ")</f>
        <v>KON</v>
      </c>
      <c r="F2335" s="125"/>
      <c r="G2335" s="125">
        <v>2</v>
      </c>
      <c r="H2335" s="125" t="s">
        <v>10</v>
      </c>
    </row>
    <row r="2336" spans="2:8" ht="15" customHeight="1" x14ac:dyDescent="0.3">
      <c r="B2336" s="126">
        <v>45890</v>
      </c>
      <c r="C2336" s="125" t="s">
        <v>198</v>
      </c>
      <c r="D2336" s="125" t="s">
        <v>71</v>
      </c>
      <c r="E2336" s="124" t="str">
        <f>IFERROR(VLOOKUP(C2336,'Base de donnée articles'!$B$8:$C$331,2,FALSE)," ")</f>
        <v>NET004</v>
      </c>
      <c r="F2336" s="125"/>
      <c r="G2336" s="125">
        <v>1</v>
      </c>
      <c r="H2336" s="125" t="s">
        <v>10</v>
      </c>
    </row>
    <row r="2337" spans="2:8" ht="15" customHeight="1" x14ac:dyDescent="0.3">
      <c r="B2337" s="126">
        <v>45890</v>
      </c>
      <c r="C2337" s="125" t="s">
        <v>178</v>
      </c>
      <c r="D2337" s="125" t="s">
        <v>12</v>
      </c>
      <c r="E2337" s="124" t="str">
        <f>IFERROR(VLOOKUP(C2337,'Base de donnée articles'!$B$8:$C$331,2,FALSE)," ")</f>
        <v>LAN</v>
      </c>
      <c r="F2337" s="125">
        <v>4</v>
      </c>
      <c r="G2337" s="125"/>
      <c r="H2337" s="125" t="s">
        <v>18</v>
      </c>
    </row>
    <row r="2338" spans="2:8" ht="15" customHeight="1" x14ac:dyDescent="0.3">
      <c r="B2338" s="126">
        <v>45890</v>
      </c>
      <c r="C2338" s="125" t="s">
        <v>181</v>
      </c>
      <c r="D2338" s="125" t="s">
        <v>191</v>
      </c>
      <c r="E2338" s="124" t="str">
        <f>IFERROR(VLOOKUP(C2338,'Base de donnée articles'!$B$8:$C$331,2,FALSE)," ")</f>
        <v>PAT008</v>
      </c>
      <c r="F2338" s="125"/>
      <c r="G2338" s="125">
        <v>5</v>
      </c>
      <c r="H2338" s="125" t="s">
        <v>10</v>
      </c>
    </row>
    <row r="2339" spans="2:8" ht="15" customHeight="1" x14ac:dyDescent="0.3">
      <c r="B2339" s="126">
        <v>45890</v>
      </c>
      <c r="C2339" s="125" t="s">
        <v>183</v>
      </c>
      <c r="D2339" s="125" t="s">
        <v>12</v>
      </c>
      <c r="E2339" s="124" t="str">
        <f>IFERROR(VLOOKUP(C2339,'Base de donnée articles'!$B$8:$C$331,2,FALSE)," ")</f>
        <v>FAR</v>
      </c>
      <c r="F2339" s="125"/>
      <c r="G2339" s="125">
        <v>13</v>
      </c>
      <c r="H2339" s="125" t="s">
        <v>10</v>
      </c>
    </row>
    <row r="2340" spans="2:8" ht="15" customHeight="1" x14ac:dyDescent="0.3">
      <c r="B2340" s="126">
        <v>45890</v>
      </c>
      <c r="C2340" s="125" t="s">
        <v>187</v>
      </c>
      <c r="D2340" s="125" t="s">
        <v>12</v>
      </c>
      <c r="E2340" s="124" t="str">
        <f>IFERROR(VLOOKUP(C2340,'Base de donnée articles'!$B$8:$C$331,2,FALSE)," ")</f>
        <v>SEL</v>
      </c>
      <c r="F2340" s="125"/>
      <c r="G2340" s="125">
        <v>2</v>
      </c>
      <c r="H2340" s="125" t="s">
        <v>10</v>
      </c>
    </row>
    <row r="2341" spans="2:8" ht="15" customHeight="1" x14ac:dyDescent="0.3">
      <c r="B2341" s="126">
        <v>45890</v>
      </c>
      <c r="C2341" s="125" t="s">
        <v>57</v>
      </c>
      <c r="D2341" s="125" t="s">
        <v>12</v>
      </c>
      <c r="E2341" s="124" t="str">
        <f>IFERROR(VLOOKUP(C2341,'Base de donnée articles'!$B$8:$C$331,2,FALSE)," ")</f>
        <v>CH007</v>
      </c>
      <c r="F2341" s="125"/>
      <c r="G2341" s="125">
        <v>80</v>
      </c>
      <c r="H2341" s="125" t="s">
        <v>10</v>
      </c>
    </row>
    <row r="2342" spans="2:8" ht="15" customHeight="1" x14ac:dyDescent="0.3">
      <c r="B2342" s="126">
        <v>45890</v>
      </c>
      <c r="C2342" s="125" t="s">
        <v>55</v>
      </c>
      <c r="D2342" s="125" t="s">
        <v>12</v>
      </c>
      <c r="E2342" s="124" t="str">
        <f>IFERROR(VLOOKUP(C2342,'Base de donnée articles'!$B$8:$C$331,2,FALSE)," ")</f>
        <v>CH001</v>
      </c>
      <c r="F2342" s="125"/>
      <c r="G2342" s="125">
        <v>120</v>
      </c>
      <c r="H2342" s="125" t="s">
        <v>10</v>
      </c>
    </row>
    <row r="2343" spans="2:8" ht="15" customHeight="1" x14ac:dyDescent="0.3">
      <c r="B2343" s="126">
        <v>45891</v>
      </c>
      <c r="C2343" s="125" t="s">
        <v>28</v>
      </c>
      <c r="D2343" s="125" t="s">
        <v>8</v>
      </c>
      <c r="E2343" s="124" t="str">
        <f>IFERROR(VLOOKUP(C2343,'Base de donnée articles'!$B$8:$C$331,2,FALSE)," ")</f>
        <v>PAT003</v>
      </c>
      <c r="F2343" s="125">
        <v>3</v>
      </c>
      <c r="G2343" s="125"/>
      <c r="H2343" s="125" t="s">
        <v>18</v>
      </c>
    </row>
    <row r="2344" spans="2:8" ht="15" customHeight="1" x14ac:dyDescent="0.3">
      <c r="B2344" s="126">
        <v>45891</v>
      </c>
      <c r="C2344" s="125" t="s">
        <v>30</v>
      </c>
      <c r="D2344" s="125" t="s">
        <v>8</v>
      </c>
      <c r="E2344" s="124" t="str">
        <f>IFERROR(VLOOKUP(C2344,'Base de donnée articles'!$B$8:$C$331,2,FALSE)," ")</f>
        <v>PAT002</v>
      </c>
      <c r="F2344" s="125">
        <v>1</v>
      </c>
      <c r="G2344" s="125"/>
      <c r="H2344" s="125" t="s">
        <v>18</v>
      </c>
    </row>
    <row r="2345" spans="2:8" ht="15" customHeight="1" x14ac:dyDescent="0.3">
      <c r="B2345" s="126">
        <v>45891</v>
      </c>
      <c r="C2345" s="14" t="s">
        <v>11</v>
      </c>
      <c r="D2345" s="125" t="s">
        <v>12</v>
      </c>
      <c r="E2345" s="124" t="str">
        <f>IFERROR(VLOOKUP(C2345,'Base de donnée articles'!$B$8:$C$331,2,FALSE)," ")</f>
        <v>CH005</v>
      </c>
      <c r="F2345" s="125">
        <v>48</v>
      </c>
      <c r="G2345" s="125"/>
      <c r="H2345" s="125" t="s">
        <v>18</v>
      </c>
    </row>
    <row r="2346" spans="2:8" ht="15" customHeight="1" x14ac:dyDescent="0.3">
      <c r="B2346" s="126">
        <v>45893</v>
      </c>
      <c r="C2346" s="39" t="s">
        <v>39</v>
      </c>
      <c r="D2346" s="125" t="s">
        <v>20</v>
      </c>
      <c r="E2346" s="124" t="str">
        <f>IFERROR(VLOOKUP(C2346,'Base de donnée articles'!$B$8:$C$331,2,FALSE)," ")</f>
        <v>GAR004</v>
      </c>
      <c r="F2346" s="125">
        <v>7.5</v>
      </c>
      <c r="G2346" s="125"/>
      <c r="H2346" s="125" t="s">
        <v>18</v>
      </c>
    </row>
    <row r="2347" spans="2:8" ht="15" customHeight="1" x14ac:dyDescent="0.3">
      <c r="B2347" s="126">
        <v>45893</v>
      </c>
      <c r="C2347" s="26" t="s">
        <v>41</v>
      </c>
      <c r="D2347" s="125" t="s">
        <v>20</v>
      </c>
      <c r="E2347" s="124" t="str">
        <f>IFERROR(VLOOKUP(C2347,'Base de donnée articles'!$B$8:$C$331,2,FALSE)," ")</f>
        <v>GAR005</v>
      </c>
      <c r="F2347" s="125">
        <v>7.5</v>
      </c>
      <c r="G2347" s="125"/>
      <c r="H2347" s="125" t="s">
        <v>18</v>
      </c>
    </row>
    <row r="2348" spans="2:8" ht="15" customHeight="1" x14ac:dyDescent="0.3">
      <c r="B2348" s="126">
        <v>45893</v>
      </c>
      <c r="C2348" s="18" t="s">
        <v>32</v>
      </c>
      <c r="D2348" s="25" t="s">
        <v>33</v>
      </c>
      <c r="E2348" s="124" t="str">
        <f>IFERROR(VLOOKUP(C2348,'Base de donnée articles'!$B$8:$C$331,2,FALSE)," ")</f>
        <v>MAY</v>
      </c>
      <c r="F2348" s="125">
        <v>1</v>
      </c>
      <c r="G2348" s="125"/>
      <c r="H2348" s="125" t="s">
        <v>18</v>
      </c>
    </row>
    <row r="2349" spans="2:8" ht="15" customHeight="1" x14ac:dyDescent="0.3">
      <c r="B2349" s="126">
        <v>45893</v>
      </c>
      <c r="C2349" s="18" t="s">
        <v>117</v>
      </c>
      <c r="D2349" s="25" t="s">
        <v>33</v>
      </c>
      <c r="E2349" s="124" t="str">
        <f>IFERROR(VLOOKUP(C2349,'Base de donnée articles'!$B$8:$C$331,2,FALSE)," ")</f>
        <v>KET</v>
      </c>
      <c r="F2349" s="125">
        <v>1</v>
      </c>
      <c r="G2349" s="125"/>
      <c r="H2349" s="125" t="s">
        <v>18</v>
      </c>
    </row>
    <row r="2350" spans="2:8" ht="15" customHeight="1" x14ac:dyDescent="0.3">
      <c r="B2350" s="126">
        <v>45893</v>
      </c>
      <c r="C2350" s="125" t="s">
        <v>80</v>
      </c>
      <c r="D2350" s="125" t="s">
        <v>71</v>
      </c>
      <c r="E2350" s="124" t="str">
        <f>IFERROR(VLOOKUP(C2350,'Base de donnée articles'!$B$8:$C$331,2,FALSE)," ")</f>
        <v>GAR011</v>
      </c>
      <c r="F2350" s="125">
        <v>1</v>
      </c>
      <c r="G2350" s="125"/>
      <c r="H2350" s="125" t="s">
        <v>18</v>
      </c>
    </row>
    <row r="2351" spans="2:8" ht="15" customHeight="1" x14ac:dyDescent="0.3">
      <c r="B2351" s="126">
        <v>45893</v>
      </c>
      <c r="C2351" s="20" t="s">
        <v>188</v>
      </c>
      <c r="D2351" s="125" t="s">
        <v>12</v>
      </c>
      <c r="E2351" s="124" t="str">
        <f>IFERROR(VLOOKUP(C2351,'Base de donnée articles'!$B$8:$C$331,2,FALSE)," ")</f>
        <v>CH055</v>
      </c>
      <c r="F2351" s="125">
        <f>5*12</f>
        <v>60</v>
      </c>
      <c r="G2351" s="125"/>
      <c r="H2351" s="125" t="s">
        <v>18</v>
      </c>
    </row>
    <row r="2352" spans="2:8" ht="15" customHeight="1" x14ac:dyDescent="0.3">
      <c r="B2352" s="126">
        <v>45893</v>
      </c>
      <c r="C2352" s="125" t="s">
        <v>51</v>
      </c>
      <c r="D2352" s="125" t="s">
        <v>20</v>
      </c>
      <c r="E2352" s="124" t="str">
        <f>IFERROR(VLOOKUP(C2352,'Base de donnée articles'!$B$8:$C$331,2,FALSE)," ")</f>
        <v>SAU010</v>
      </c>
      <c r="F2352" s="125">
        <v>2.5</v>
      </c>
      <c r="G2352" s="125"/>
      <c r="H2352" s="125" t="s">
        <v>18</v>
      </c>
    </row>
    <row r="2353" spans="2:8" ht="15" customHeight="1" x14ac:dyDescent="0.3">
      <c r="B2353" s="126">
        <v>45893</v>
      </c>
      <c r="C2353" s="125" t="s">
        <v>30</v>
      </c>
      <c r="D2353" s="125" t="s">
        <v>8</v>
      </c>
      <c r="E2353" s="124" t="str">
        <f>IFERROR(VLOOKUP(C2353,'Base de donnée articles'!$B$8:$C$331,2,FALSE)," ")</f>
        <v>PAT002</v>
      </c>
      <c r="F2353" s="125">
        <v>1</v>
      </c>
      <c r="G2353" s="125"/>
      <c r="H2353" s="125" t="s">
        <v>18</v>
      </c>
    </row>
    <row r="2354" spans="2:8" ht="15" customHeight="1" x14ac:dyDescent="0.3">
      <c r="B2354" s="126">
        <v>45893</v>
      </c>
      <c r="C2354" s="125" t="s">
        <v>7</v>
      </c>
      <c r="D2354" s="125" t="s">
        <v>8</v>
      </c>
      <c r="E2354" s="124" t="str">
        <f>IFERROR(VLOOKUP(C2354,'Base de donnée articles'!$B$8:$C$331,2,FALSE)," ")</f>
        <v>PAT004</v>
      </c>
      <c r="F2354" s="125">
        <v>2</v>
      </c>
      <c r="G2354" s="125"/>
      <c r="H2354" s="125" t="s">
        <v>18</v>
      </c>
    </row>
    <row r="2355" spans="2:8" ht="15" customHeight="1" x14ac:dyDescent="0.3">
      <c r="B2355" s="126">
        <v>45893</v>
      </c>
      <c r="C2355" s="125" t="s">
        <v>55</v>
      </c>
      <c r="D2355" s="125" t="s">
        <v>12</v>
      </c>
      <c r="E2355" s="124" t="str">
        <f>IFERROR(VLOOKUP(C2355,'Base de donnée articles'!$B$8:$C$331,2,FALSE)," ")</f>
        <v>CH001</v>
      </c>
      <c r="F2355" s="125">
        <v>60</v>
      </c>
      <c r="G2355" s="125"/>
      <c r="H2355" s="125" t="s">
        <v>18</v>
      </c>
    </row>
    <row r="2356" spans="2:8" ht="15" customHeight="1" x14ac:dyDescent="0.3">
      <c r="B2356" s="126">
        <v>45893</v>
      </c>
      <c r="C2356" s="125" t="s">
        <v>30</v>
      </c>
      <c r="D2356" s="125" t="s">
        <v>8</v>
      </c>
      <c r="E2356" s="124" t="str">
        <f>IFERROR(VLOOKUP(C2356,'Base de donnée articles'!$B$8:$C$331,2,FALSE)," ")</f>
        <v>PAT002</v>
      </c>
      <c r="F2356" s="125"/>
      <c r="G2356" s="125">
        <v>2</v>
      </c>
      <c r="H2356" s="125" t="s">
        <v>10</v>
      </c>
    </row>
    <row r="2357" spans="2:8" ht="15" customHeight="1" x14ac:dyDescent="0.3">
      <c r="B2357" s="126">
        <v>45893</v>
      </c>
      <c r="C2357" s="125" t="s">
        <v>7</v>
      </c>
      <c r="D2357" s="125" t="s">
        <v>8</v>
      </c>
      <c r="E2357" s="124" t="str">
        <f>IFERROR(VLOOKUP(C2357,'Base de donnée articles'!$B$8:$C$331,2,FALSE)," ")</f>
        <v>PAT004</v>
      </c>
      <c r="F2357" s="125"/>
      <c r="G2357" s="125">
        <v>2</v>
      </c>
      <c r="H2357" s="125" t="s">
        <v>10</v>
      </c>
    </row>
    <row r="2358" spans="2:8" ht="15" customHeight="1" x14ac:dyDescent="0.3">
      <c r="B2358" s="126">
        <v>45893</v>
      </c>
      <c r="C2358" s="125" t="s">
        <v>28</v>
      </c>
      <c r="D2358" s="125" t="s">
        <v>8</v>
      </c>
      <c r="E2358" s="124" t="str">
        <f>IFERROR(VLOOKUP(C2358,'Base de donnée articles'!$B$8:$C$331,2,FALSE)," ")</f>
        <v>PAT003</v>
      </c>
      <c r="F2358" s="125"/>
      <c r="G2358" s="125">
        <v>2</v>
      </c>
      <c r="H2358" s="125" t="s">
        <v>10</v>
      </c>
    </row>
    <row r="2359" spans="2:8" ht="15" customHeight="1" x14ac:dyDescent="0.3">
      <c r="B2359" s="126">
        <v>45894</v>
      </c>
      <c r="C2359" s="20" t="s">
        <v>188</v>
      </c>
      <c r="D2359" s="125" t="s">
        <v>12</v>
      </c>
      <c r="E2359" s="124" t="str">
        <f>IFERROR(VLOOKUP(C2359,'Base de donnée articles'!$B$8:$C$331,2,FALSE)," ")</f>
        <v>CH055</v>
      </c>
      <c r="F2359" s="125"/>
      <c r="G2359" s="125">
        <f>108-12</f>
        <v>96</v>
      </c>
      <c r="H2359" s="125" t="s">
        <v>10</v>
      </c>
    </row>
    <row r="2360" spans="2:8" ht="15" customHeight="1" x14ac:dyDescent="0.3">
      <c r="B2360" s="126">
        <v>45894</v>
      </c>
      <c r="C2360" s="125" t="s">
        <v>43</v>
      </c>
      <c r="D2360" s="125" t="s">
        <v>20</v>
      </c>
      <c r="E2360" s="124" t="str">
        <f>IFERROR(VLOOKUP(C2360,'Base de donnée articles'!$B$8:$C$331,2,FALSE)," ")</f>
        <v>SAU011</v>
      </c>
      <c r="F2360" s="125"/>
      <c r="G2360" s="125">
        <v>2</v>
      </c>
      <c r="H2360" s="125" t="s">
        <v>10</v>
      </c>
    </row>
    <row r="2361" spans="2:8" ht="15" customHeight="1" x14ac:dyDescent="0.3">
      <c r="B2361" s="126">
        <v>45894</v>
      </c>
      <c r="C2361" s="39" t="s">
        <v>39</v>
      </c>
      <c r="D2361" s="125" t="s">
        <v>20</v>
      </c>
      <c r="E2361" s="124" t="str">
        <f>IFERROR(VLOOKUP(C2361,'Base de donnée articles'!$B$8:$C$331,2,FALSE)," ")</f>
        <v>GAR004</v>
      </c>
      <c r="F2361" s="125"/>
      <c r="G2361" s="125">
        <v>17.5</v>
      </c>
      <c r="H2361" s="125" t="s">
        <v>10</v>
      </c>
    </row>
    <row r="2362" spans="2:8" ht="15" customHeight="1" x14ac:dyDescent="0.3">
      <c r="B2362" s="126">
        <v>45894</v>
      </c>
      <c r="C2362" s="26" t="s">
        <v>41</v>
      </c>
      <c r="D2362" s="125" t="s">
        <v>20</v>
      </c>
      <c r="E2362" s="124" t="str">
        <f>IFERROR(VLOOKUP(C2362,'Base de donnée articles'!$B$8:$C$331,2,FALSE)," ")</f>
        <v>GAR005</v>
      </c>
      <c r="F2362" s="125"/>
      <c r="G2362" s="125">
        <v>15.5</v>
      </c>
      <c r="H2362" s="125" t="s">
        <v>10</v>
      </c>
    </row>
    <row r="2363" spans="2:8" ht="15" customHeight="1" x14ac:dyDescent="0.3">
      <c r="B2363" s="126">
        <v>45894</v>
      </c>
      <c r="C2363" s="125" t="s">
        <v>73</v>
      </c>
      <c r="D2363" s="125" t="s">
        <v>71</v>
      </c>
      <c r="E2363" s="124" t="str">
        <f>IFERROR(VLOOKUP(C2363,'Base de donnée articles'!$B$8:$C$331,2,FALSE)," ")</f>
        <v>GAR007</v>
      </c>
      <c r="F2363" s="125"/>
      <c r="G2363" s="125">
        <v>2</v>
      </c>
      <c r="H2363" s="125" t="s">
        <v>10</v>
      </c>
    </row>
    <row r="2364" spans="2:8" ht="15" customHeight="1" x14ac:dyDescent="0.3">
      <c r="B2364" s="126">
        <v>45894</v>
      </c>
      <c r="C2364" s="125" t="s">
        <v>51</v>
      </c>
      <c r="D2364" s="125" t="s">
        <v>20</v>
      </c>
      <c r="E2364" s="124" t="str">
        <f>IFERROR(VLOOKUP(C2364,'Base de donnée articles'!$B$8:$C$331,2,FALSE)," ")</f>
        <v>SAU010</v>
      </c>
      <c r="F2364" s="125"/>
      <c r="G2364" s="125">
        <v>5</v>
      </c>
      <c r="H2364" s="125" t="s">
        <v>10</v>
      </c>
    </row>
    <row r="2365" spans="2:8" ht="15" customHeight="1" x14ac:dyDescent="0.3">
      <c r="B2365" s="126">
        <v>45894</v>
      </c>
      <c r="C2365" s="125" t="s">
        <v>80</v>
      </c>
      <c r="D2365" s="125" t="s">
        <v>71</v>
      </c>
      <c r="E2365" s="124" t="str">
        <f>IFERROR(VLOOKUP(C2365,'Base de donnée articles'!$B$8:$C$331,2,FALSE)," ")</f>
        <v>GAR011</v>
      </c>
      <c r="F2365" s="125"/>
      <c r="G2365" s="125">
        <v>3</v>
      </c>
      <c r="H2365" s="125" t="s">
        <v>10</v>
      </c>
    </row>
    <row r="2366" spans="2:8" ht="15" customHeight="1" x14ac:dyDescent="0.3">
      <c r="B2366" s="126">
        <v>45894</v>
      </c>
      <c r="C2366" s="125" t="s">
        <v>95</v>
      </c>
      <c r="D2366" s="125" t="s">
        <v>12</v>
      </c>
      <c r="E2366" s="124" t="str">
        <f>IFERROR(VLOOKUP(C2366,'Base de donnée articles'!$B$8:$C$331,2,FALSE)," ")</f>
        <v>FRT006</v>
      </c>
      <c r="F2366" s="125"/>
      <c r="G2366" s="125">
        <v>30</v>
      </c>
      <c r="H2366" s="125" t="s">
        <v>10</v>
      </c>
    </row>
    <row r="2367" spans="2:8" ht="15" customHeight="1" x14ac:dyDescent="0.3">
      <c r="B2367" s="126">
        <v>45894</v>
      </c>
      <c r="C2367" s="18" t="s">
        <v>32</v>
      </c>
      <c r="D2367" s="25" t="s">
        <v>33</v>
      </c>
      <c r="E2367" s="124" t="str">
        <f>IFERROR(VLOOKUP(C2367,'Base de donnée articles'!$B$8:$C$331,2,FALSE)," ")</f>
        <v>MAY</v>
      </c>
      <c r="F2367" s="125"/>
      <c r="G2367" s="125">
        <v>1</v>
      </c>
      <c r="H2367" s="125" t="s">
        <v>10</v>
      </c>
    </row>
    <row r="2368" spans="2:8" ht="15" customHeight="1" x14ac:dyDescent="0.3">
      <c r="B2368" s="126">
        <v>45894</v>
      </c>
      <c r="C2368" s="18" t="s">
        <v>117</v>
      </c>
      <c r="D2368" s="25" t="s">
        <v>33</v>
      </c>
      <c r="E2368" s="124" t="str">
        <f>IFERROR(VLOOKUP(C2368,'Base de donnée articles'!$B$8:$C$331,2,FALSE)," ")</f>
        <v>KET</v>
      </c>
      <c r="F2368" s="125"/>
      <c r="G2368" s="125">
        <v>1</v>
      </c>
      <c r="H2368" s="125" t="s">
        <v>10</v>
      </c>
    </row>
    <row r="2369" spans="2:8" ht="15" customHeight="1" x14ac:dyDescent="0.3">
      <c r="B2369" s="126">
        <v>45894</v>
      </c>
      <c r="C2369" s="125" t="s">
        <v>57</v>
      </c>
      <c r="D2369" s="125" t="s">
        <v>12</v>
      </c>
      <c r="E2369" s="124" t="str">
        <f>IFERROR(VLOOKUP(C2369,'Base de donnée articles'!$B$8:$C$331,2,FALSE)," ")</f>
        <v>CH007</v>
      </c>
      <c r="F2369" s="125"/>
      <c r="G2369" s="125">
        <v>80</v>
      </c>
      <c r="H2369" s="125" t="s">
        <v>10</v>
      </c>
    </row>
    <row r="2370" spans="2:8" ht="15" customHeight="1" x14ac:dyDescent="0.3">
      <c r="B2370" s="126">
        <v>45894</v>
      </c>
      <c r="C2370" s="125" t="s">
        <v>45</v>
      </c>
      <c r="D2370" s="125" t="s">
        <v>12</v>
      </c>
      <c r="E2370" s="124" t="str">
        <f>IFERROR(VLOOKUP(C2370,'Base de donnée articles'!$B$8:$C$331,2,FALSE)," ")</f>
        <v>CH009</v>
      </c>
      <c r="F2370" s="125"/>
      <c r="G2370" s="125">
        <v>80</v>
      </c>
      <c r="H2370" s="125" t="s">
        <v>10</v>
      </c>
    </row>
    <row r="2371" spans="2:8" ht="15" customHeight="1" x14ac:dyDescent="0.3">
      <c r="B2371" s="126">
        <v>45894</v>
      </c>
      <c r="C2371" s="125" t="s">
        <v>11</v>
      </c>
      <c r="D2371" s="125" t="s">
        <v>12</v>
      </c>
      <c r="E2371" s="124" t="str">
        <f>IFERROR(VLOOKUP(C2371,'Base de donnée articles'!$B$8:$C$331,2,FALSE)," ")</f>
        <v>CH005</v>
      </c>
      <c r="F2371" s="125"/>
      <c r="G2371" s="125">
        <f>48-15</f>
        <v>33</v>
      </c>
      <c r="H2371" s="125" t="s">
        <v>10</v>
      </c>
    </row>
    <row r="2372" spans="2:8" ht="15" customHeight="1" x14ac:dyDescent="0.3">
      <c r="B2372" s="126">
        <v>45894</v>
      </c>
      <c r="C2372" s="125" t="s">
        <v>108</v>
      </c>
      <c r="D2372" s="125" t="s">
        <v>113</v>
      </c>
      <c r="E2372" s="124" t="str">
        <f>IFERROR(VLOOKUP(C2372,'Base de donnée articles'!$B$8:$C$331,2,FALSE)," ")</f>
        <v>CIT</v>
      </c>
      <c r="F2372" s="125"/>
      <c r="G2372" s="125">
        <v>1</v>
      </c>
      <c r="H2372" s="125" t="s">
        <v>10</v>
      </c>
    </row>
    <row r="2373" spans="2:8" ht="15" customHeight="1" x14ac:dyDescent="0.3">
      <c r="B2373" s="126">
        <v>45894</v>
      </c>
      <c r="C2373" s="125" t="s">
        <v>115</v>
      </c>
      <c r="D2373" s="125" t="s">
        <v>12</v>
      </c>
      <c r="E2373" s="124" t="str">
        <f>IFERROR(VLOOKUP(C2373,'Base de donnée articles'!$B$8:$C$331,2,FALSE)," ")</f>
        <v>KON</v>
      </c>
      <c r="F2373" s="125"/>
      <c r="G2373" s="125">
        <v>2</v>
      </c>
      <c r="H2373" s="125" t="s">
        <v>10</v>
      </c>
    </row>
    <row r="2374" spans="2:8" ht="15" customHeight="1" x14ac:dyDescent="0.3">
      <c r="B2374" s="126">
        <v>45894</v>
      </c>
      <c r="C2374" s="125" t="s">
        <v>198</v>
      </c>
      <c r="D2374" s="125" t="s">
        <v>12</v>
      </c>
      <c r="E2374" s="124" t="str">
        <f>IFERROR(VLOOKUP(C2374,'Base de donnée articles'!$B$8:$C$331,2,FALSE)," ")</f>
        <v>NET004</v>
      </c>
      <c r="F2374" s="125"/>
      <c r="G2374" s="125">
        <v>1</v>
      </c>
      <c r="H2374" s="125" t="s">
        <v>10</v>
      </c>
    </row>
    <row r="2375" spans="2:8" ht="15" customHeight="1" x14ac:dyDescent="0.3">
      <c r="B2375" s="126">
        <v>45894</v>
      </c>
      <c r="C2375" s="18" t="s">
        <v>178</v>
      </c>
      <c r="D2375" s="125" t="s">
        <v>12</v>
      </c>
      <c r="E2375" s="124" t="str">
        <f>IFERROR(VLOOKUP(C2375,'Base de donnée articles'!$B$8:$C$331,2,FALSE)," ")</f>
        <v>LAN</v>
      </c>
      <c r="F2375" s="125"/>
      <c r="G2375" s="125">
        <v>5</v>
      </c>
      <c r="H2375" s="125" t="s">
        <v>10</v>
      </c>
    </row>
    <row r="2376" spans="2:8" ht="15" customHeight="1" x14ac:dyDescent="0.3">
      <c r="B2376" s="126">
        <v>45894</v>
      </c>
      <c r="C2376" s="125" t="s">
        <v>57</v>
      </c>
      <c r="D2376" s="125" t="s">
        <v>12</v>
      </c>
      <c r="E2376" s="124" t="str">
        <f>IFERROR(VLOOKUP(C2376,'Base de donnée articles'!$B$8:$C$331,2,FALSE)," ")</f>
        <v>CH007</v>
      </c>
      <c r="F2376" s="125"/>
      <c r="G2376" s="125">
        <v>80</v>
      </c>
      <c r="H2376" s="125" t="s">
        <v>10</v>
      </c>
    </row>
    <row r="2377" spans="2:8" ht="15" customHeight="1" x14ac:dyDescent="0.3">
      <c r="B2377" s="126">
        <v>45894</v>
      </c>
      <c r="C2377" s="125" t="s">
        <v>45</v>
      </c>
      <c r="D2377" s="125" t="s">
        <v>12</v>
      </c>
      <c r="E2377" s="124" t="str">
        <f>IFERROR(VLOOKUP(C2377,'Base de donnée articles'!$B$8:$C$331,2,FALSE)," ")</f>
        <v>CH009</v>
      </c>
      <c r="F2377" s="125"/>
      <c r="G2377" s="125">
        <v>80</v>
      </c>
      <c r="H2377" s="125" t="s">
        <v>10</v>
      </c>
    </row>
    <row r="2378" spans="2:8" ht="15" customHeight="1" x14ac:dyDescent="0.3">
      <c r="B2378" s="126">
        <v>45894</v>
      </c>
      <c r="C2378" s="125" t="s">
        <v>55</v>
      </c>
      <c r="D2378" s="125" t="s">
        <v>12</v>
      </c>
      <c r="E2378" s="124" t="str">
        <f>IFERROR(VLOOKUP(C2378,'Base de donnée articles'!$B$8:$C$331,2,FALSE)," ")</f>
        <v>CH001</v>
      </c>
      <c r="F2378" s="125"/>
      <c r="G2378" s="125">
        <v>60</v>
      </c>
      <c r="H2378" s="125" t="s">
        <v>10</v>
      </c>
    </row>
    <row r="2379" spans="2:8" ht="15" customHeight="1" x14ac:dyDescent="0.3">
      <c r="B2379" s="126">
        <v>45896</v>
      </c>
      <c r="C2379" s="125" t="s">
        <v>7</v>
      </c>
      <c r="D2379" s="125" t="s">
        <v>8</v>
      </c>
      <c r="E2379" s="124" t="str">
        <f>IFERROR(VLOOKUP(C2379,'Base de donnée articles'!$B$8:$C$331,2,FALSE)," ")</f>
        <v>PAT004</v>
      </c>
      <c r="F2379" s="125">
        <v>3</v>
      </c>
      <c r="G2379" s="125"/>
      <c r="H2379" s="125" t="s">
        <v>18</v>
      </c>
    </row>
    <row r="2380" spans="2:8" ht="15" customHeight="1" x14ac:dyDescent="0.3">
      <c r="B2380" s="126">
        <v>45896</v>
      </c>
      <c r="C2380" s="125" t="s">
        <v>28</v>
      </c>
      <c r="D2380" s="125" t="s">
        <v>8</v>
      </c>
      <c r="E2380" s="124" t="str">
        <f>IFERROR(VLOOKUP(C2380,'Base de donnée articles'!$B$8:$C$331,2,FALSE)," ")</f>
        <v>PAT003</v>
      </c>
      <c r="F2380" s="125">
        <v>2</v>
      </c>
      <c r="G2380" s="125"/>
      <c r="H2380" s="125" t="s">
        <v>18</v>
      </c>
    </row>
    <row r="2381" spans="2:8" ht="15" customHeight="1" x14ac:dyDescent="0.3">
      <c r="B2381" s="126">
        <v>45896</v>
      </c>
      <c r="C2381" s="134" t="s">
        <v>80</v>
      </c>
      <c r="D2381" s="125" t="s">
        <v>71</v>
      </c>
      <c r="E2381" s="124" t="str">
        <f>IFERROR(VLOOKUP(C2381,'Base de donnée articles'!$B$8:$C$331,2,FALSE)," ")</f>
        <v>GAR011</v>
      </c>
      <c r="F2381" s="125">
        <v>2</v>
      </c>
      <c r="G2381" s="125"/>
      <c r="H2381" s="125" t="s">
        <v>18</v>
      </c>
    </row>
    <row r="2382" spans="2:8" ht="15" customHeight="1" x14ac:dyDescent="0.3">
      <c r="B2382" s="126">
        <v>45896</v>
      </c>
      <c r="C2382" s="125" t="s">
        <v>7</v>
      </c>
      <c r="D2382" s="125" t="s">
        <v>8</v>
      </c>
      <c r="E2382" s="124" t="str">
        <f>IFERROR(VLOOKUP(C2382,'Base de donnée articles'!$B$8:$C$331,2,FALSE)," ")</f>
        <v>PAT004</v>
      </c>
      <c r="F2382" s="125"/>
      <c r="G2382" s="125">
        <v>2</v>
      </c>
      <c r="H2382" s="125" t="s">
        <v>10</v>
      </c>
    </row>
    <row r="2383" spans="2:8" ht="15" customHeight="1" x14ac:dyDescent="0.3">
      <c r="B2383" s="126">
        <v>45897</v>
      </c>
      <c r="C2383" s="20" t="s">
        <v>188</v>
      </c>
      <c r="D2383" s="125" t="s">
        <v>12</v>
      </c>
      <c r="E2383" s="124" t="str">
        <f>IFERROR(VLOOKUP(C2383,'Base de donnée articles'!$B$8:$C$331,2,FALSE)," ")</f>
        <v>CH055</v>
      </c>
      <c r="F2383" s="125">
        <v>120</v>
      </c>
      <c r="G2383" s="125"/>
      <c r="H2383" s="125" t="s">
        <v>18</v>
      </c>
    </row>
    <row r="2384" spans="2:8" ht="15" customHeight="1" x14ac:dyDescent="0.3">
      <c r="B2384" s="126">
        <v>45897</v>
      </c>
      <c r="C2384" s="125" t="s">
        <v>61</v>
      </c>
      <c r="D2384" s="125" t="s">
        <v>191</v>
      </c>
      <c r="E2384" s="124" t="str">
        <f>IFERROR(VLOOKUP(C2384,'Base de donnée articles'!$B$8:$C$331,2,FALSE)," ")</f>
        <v>CH070</v>
      </c>
      <c r="F2384" s="125">
        <v>10</v>
      </c>
      <c r="G2384" s="125"/>
      <c r="H2384" s="125" t="s">
        <v>18</v>
      </c>
    </row>
    <row r="2385" spans="2:8" ht="15" customHeight="1" x14ac:dyDescent="0.3">
      <c r="B2385" s="126">
        <v>45897</v>
      </c>
      <c r="C2385" s="125" t="s">
        <v>51</v>
      </c>
      <c r="D2385" s="125" t="s">
        <v>191</v>
      </c>
      <c r="E2385" s="124" t="str">
        <f>IFERROR(VLOOKUP(C2385,'Base de donnée articles'!$B$8:$C$331,2,FALSE)," ")</f>
        <v>SAU010</v>
      </c>
      <c r="F2385" s="125">
        <v>10</v>
      </c>
      <c r="G2385" s="125"/>
      <c r="H2385" s="125" t="s">
        <v>18</v>
      </c>
    </row>
    <row r="2386" spans="2:8" ht="15" customHeight="1" x14ac:dyDescent="0.3">
      <c r="B2386" s="126">
        <v>45897</v>
      </c>
      <c r="C2386" s="125" t="s">
        <v>30</v>
      </c>
      <c r="D2386" s="125" t="s">
        <v>8</v>
      </c>
      <c r="E2386" s="124" t="str">
        <f>IFERROR(VLOOKUP(C2386,'Base de donnée articles'!$B$8:$C$331,2,FALSE)," ")</f>
        <v>PAT002</v>
      </c>
      <c r="F2386" s="125">
        <v>1</v>
      </c>
      <c r="G2386" s="125"/>
      <c r="H2386" s="125" t="s">
        <v>18</v>
      </c>
    </row>
    <row r="2387" spans="2:8" ht="15" customHeight="1" x14ac:dyDescent="0.3">
      <c r="B2387" s="126">
        <v>45897</v>
      </c>
      <c r="C2387" s="125" t="s">
        <v>101</v>
      </c>
      <c r="D2387" s="125" t="s">
        <v>8</v>
      </c>
      <c r="E2387" s="124" t="str">
        <f>IFERROR(VLOOKUP(C2387,'Base de donnée articles'!$B$8:$C$331,2,FALSE)," ")</f>
        <v>PA011</v>
      </c>
      <c r="F2387" s="125">
        <v>1</v>
      </c>
      <c r="G2387" s="125"/>
      <c r="H2387" s="125" t="s">
        <v>18</v>
      </c>
    </row>
    <row r="2388" spans="2:8" ht="15" customHeight="1" x14ac:dyDescent="0.3">
      <c r="B2388" s="126">
        <v>45897</v>
      </c>
      <c r="C2388" s="125" t="s">
        <v>28</v>
      </c>
      <c r="D2388" s="125" t="s">
        <v>8</v>
      </c>
      <c r="E2388" s="124" t="str">
        <f>IFERROR(VLOOKUP(C2388,'Base de donnée articles'!$B$8:$C$331,2,FALSE)," ")</f>
        <v>PAT003</v>
      </c>
      <c r="F2388" s="125"/>
      <c r="G2388" s="125">
        <v>1</v>
      </c>
      <c r="H2388" s="125" t="s">
        <v>10</v>
      </c>
    </row>
    <row r="2389" spans="2:8" ht="15" customHeight="1" x14ac:dyDescent="0.3">
      <c r="B2389" s="126">
        <v>45897</v>
      </c>
      <c r="C2389" s="125" t="s">
        <v>101</v>
      </c>
      <c r="D2389" s="125" t="s">
        <v>8</v>
      </c>
      <c r="E2389" s="124" t="str">
        <f>IFERROR(VLOOKUP(C2389,'Base de donnée articles'!$B$8:$C$331,2,FALSE)," ")</f>
        <v>PA011</v>
      </c>
      <c r="F2389" s="125"/>
      <c r="G2389" s="125">
        <v>1</v>
      </c>
      <c r="H2389" s="125" t="s">
        <v>10</v>
      </c>
    </row>
    <row r="2390" spans="2:8" ht="15" customHeight="1" x14ac:dyDescent="0.3">
      <c r="B2390" s="126">
        <v>45897</v>
      </c>
      <c r="C2390" s="26" t="s">
        <v>41</v>
      </c>
      <c r="D2390" s="125" t="s">
        <v>20</v>
      </c>
      <c r="E2390" s="124" t="str">
        <f>IFERROR(VLOOKUP(C2390,'Base de donnée articles'!$B$8:$C$331,2,FALSE)," ")</f>
        <v>GAR005</v>
      </c>
      <c r="F2390" s="125">
        <v>10</v>
      </c>
      <c r="G2390" s="125"/>
      <c r="H2390" s="125" t="s">
        <v>18</v>
      </c>
    </row>
    <row r="2391" spans="2:8" ht="15" customHeight="1" x14ac:dyDescent="0.3">
      <c r="B2391" s="126">
        <v>45897</v>
      </c>
      <c r="C2391" s="125" t="s">
        <v>199</v>
      </c>
      <c r="D2391" s="125" t="s">
        <v>12</v>
      </c>
      <c r="E2391" s="18" t="s">
        <v>94</v>
      </c>
      <c r="F2391" s="125"/>
      <c r="G2391" s="125">
        <v>1</v>
      </c>
      <c r="H2391" s="125" t="s">
        <v>10</v>
      </c>
    </row>
    <row r="2392" spans="2:8" ht="15" customHeight="1" x14ac:dyDescent="0.3">
      <c r="B2392" s="126">
        <v>45897</v>
      </c>
      <c r="C2392" s="125" t="s">
        <v>73</v>
      </c>
      <c r="D2392" s="125" t="s">
        <v>71</v>
      </c>
      <c r="E2392" s="124" t="str">
        <f>IFERROR(VLOOKUP(C2392,'Base de donnée articles'!$B$8:$C$331,2,FALSE)," ")</f>
        <v>GAR007</v>
      </c>
      <c r="F2392" s="125"/>
      <c r="G2392" s="125">
        <v>1</v>
      </c>
      <c r="H2392" s="125" t="s">
        <v>10</v>
      </c>
    </row>
    <row r="2393" spans="2:8" ht="15" customHeight="1" x14ac:dyDescent="0.3">
      <c r="B2393" s="126">
        <v>45897</v>
      </c>
      <c r="C2393" s="125" t="s">
        <v>70</v>
      </c>
      <c r="D2393" s="125" t="s">
        <v>71</v>
      </c>
      <c r="E2393" s="124" t="str">
        <f>IFERROR(VLOOKUP(C2393,'Base de donnée articles'!$B$8:$C$331,2,FALSE)," ")</f>
        <v>GAR014</v>
      </c>
      <c r="F2393" s="125"/>
      <c r="G2393" s="125">
        <v>1</v>
      </c>
      <c r="H2393" s="125" t="s">
        <v>10</v>
      </c>
    </row>
    <row r="2394" spans="2:8" ht="15" customHeight="1" x14ac:dyDescent="0.3">
      <c r="B2394" s="126">
        <v>45897</v>
      </c>
      <c r="C2394" s="125" t="s">
        <v>55</v>
      </c>
      <c r="D2394" s="125" t="s">
        <v>71</v>
      </c>
      <c r="E2394" s="124" t="str">
        <f>IFERROR(VLOOKUP(C2394,'Base de donnée articles'!$B$8:$C$331,2,FALSE)," ")</f>
        <v>CH001</v>
      </c>
      <c r="F2394" s="125"/>
      <c r="G2394" s="125">
        <v>30</v>
      </c>
      <c r="H2394" s="125" t="s">
        <v>10</v>
      </c>
    </row>
    <row r="2395" spans="2:8" ht="15" customHeight="1" x14ac:dyDescent="0.3">
      <c r="B2395" s="126">
        <v>45898</v>
      </c>
      <c r="C2395" s="144" t="s">
        <v>30</v>
      </c>
      <c r="D2395" s="144" t="s">
        <v>8</v>
      </c>
      <c r="E2395" s="124" t="str">
        <f>IFERROR(VLOOKUP(C2395,'Base de donnée articles'!$B$8:$C$331,2,FALSE)," ")</f>
        <v>PAT002</v>
      </c>
      <c r="F2395" s="125">
        <v>1</v>
      </c>
      <c r="G2395" s="125"/>
      <c r="H2395" s="144" t="s">
        <v>18</v>
      </c>
    </row>
    <row r="2396" spans="2:8" ht="15" customHeight="1" x14ac:dyDescent="0.3">
      <c r="B2396" s="126">
        <v>45898</v>
      </c>
      <c r="C2396" s="18" t="s">
        <v>108</v>
      </c>
      <c r="D2396" s="144" t="s">
        <v>12</v>
      </c>
      <c r="E2396" s="124" t="str">
        <f>IFERROR(VLOOKUP(C2396,'Base de donnée articles'!$B$8:$C$331,2,FALSE)," ")</f>
        <v>CIT</v>
      </c>
      <c r="F2396" s="125">
        <v>2</v>
      </c>
      <c r="G2396" s="125"/>
      <c r="H2396" s="144" t="s">
        <v>18</v>
      </c>
    </row>
    <row r="2397" spans="2:8" ht="15" customHeight="1" x14ac:dyDescent="0.3">
      <c r="B2397" s="125"/>
      <c r="C2397" s="125"/>
      <c r="D2397" s="125"/>
      <c r="E2397" s="124" t="str">
        <f>IFERROR(VLOOKUP(C2397,'Base de donnée articles'!$B$8:$C$331,2,FALSE)," ")</f>
        <v xml:space="preserve"> </v>
      </c>
      <c r="F2397" s="125"/>
      <c r="G2397" s="125"/>
      <c r="H2397" s="125"/>
    </row>
    <row r="2398" spans="2:8" ht="15" customHeight="1" x14ac:dyDescent="0.3">
      <c r="B2398" s="125"/>
      <c r="C2398" s="125"/>
      <c r="D2398" s="125"/>
      <c r="E2398" s="124" t="str">
        <f>IFERROR(VLOOKUP(C2398,'Base de donnée articles'!$B$8:$C$331,2,FALSE)," ")</f>
        <v xml:space="preserve"> </v>
      </c>
      <c r="F2398" s="125"/>
      <c r="G2398" s="125"/>
      <c r="H2398" s="125"/>
    </row>
    <row r="2399" spans="2:8" ht="15" customHeight="1" x14ac:dyDescent="0.3">
      <c r="B2399" s="125"/>
      <c r="C2399" s="125"/>
      <c r="D2399" s="125"/>
      <c r="E2399" s="124" t="str">
        <f>IFERROR(VLOOKUP(C2399,'Base de donnée articles'!$B$8:$C$331,2,FALSE)," ")</f>
        <v xml:space="preserve"> </v>
      </c>
      <c r="F2399" s="125"/>
      <c r="G2399" s="125"/>
      <c r="H2399" s="125"/>
    </row>
    <row r="2400" spans="2:8" ht="15" customHeight="1" x14ac:dyDescent="0.3">
      <c r="B2400" s="125"/>
      <c r="C2400" s="125"/>
      <c r="D2400" s="125"/>
      <c r="E2400" s="124" t="str">
        <f>IFERROR(VLOOKUP(C2400,'Base de donnée articles'!$B$8:$C$331,2,FALSE)," ")</f>
        <v xml:space="preserve"> </v>
      </c>
      <c r="F2400" s="125"/>
      <c r="G2400" s="125"/>
      <c r="H2400" s="125"/>
    </row>
    <row r="2401" spans="2:8" ht="15" customHeight="1" x14ac:dyDescent="0.3">
      <c r="B2401" s="125"/>
      <c r="C2401" s="125"/>
      <c r="D2401" s="125"/>
      <c r="E2401" s="124" t="str">
        <f>IFERROR(VLOOKUP(C2401,'Base de donnée articles'!$B$8:$C$331,2,FALSE)," ")</f>
        <v xml:space="preserve"> </v>
      </c>
      <c r="F2401" s="125"/>
      <c r="G2401" s="125"/>
      <c r="H2401" s="125"/>
    </row>
    <row r="2402" spans="2:8" ht="15" customHeight="1" x14ac:dyDescent="0.3">
      <c r="B2402" s="125"/>
      <c r="C2402" s="125"/>
      <c r="D2402" s="125"/>
      <c r="E2402" s="124" t="str">
        <f>IFERROR(VLOOKUP(C2402,'Base de donnée articles'!$B$8:$C$331,2,FALSE)," ")</f>
        <v xml:space="preserve"> </v>
      </c>
      <c r="F2402" s="125"/>
      <c r="G2402" s="125"/>
      <c r="H2402" s="125"/>
    </row>
    <row r="2403" spans="2:8" ht="15" customHeight="1" x14ac:dyDescent="0.3">
      <c r="B2403" s="125"/>
      <c r="C2403" s="125"/>
      <c r="D2403" s="125"/>
      <c r="E2403" s="124" t="str">
        <f>IFERROR(VLOOKUP(C2403,'Base de donnée articles'!$B$8:$C$331,2,FALSE)," ")</f>
        <v xml:space="preserve"> </v>
      </c>
      <c r="F2403" s="125"/>
      <c r="G2403" s="125"/>
      <c r="H2403" s="125"/>
    </row>
    <row r="2404" spans="2:8" ht="15" customHeight="1" x14ac:dyDescent="0.3">
      <c r="B2404" s="125"/>
      <c r="C2404" s="125"/>
      <c r="D2404" s="125"/>
      <c r="E2404" s="124" t="str">
        <f>IFERROR(VLOOKUP(C2404,'Base de donnée articles'!$B$8:$C$331,2,FALSE)," ")</f>
        <v xml:space="preserve"> </v>
      </c>
      <c r="F2404" s="125"/>
      <c r="G2404" s="125"/>
      <c r="H2404" s="125"/>
    </row>
    <row r="2405" spans="2:8" ht="15" customHeight="1" x14ac:dyDescent="0.3">
      <c r="B2405" s="125"/>
      <c r="C2405" s="125"/>
      <c r="D2405" s="125"/>
      <c r="E2405" s="124" t="str">
        <f>IFERROR(VLOOKUP(C2405,'Base de donnée articles'!$B$8:$C$331,2,FALSE)," ")</f>
        <v xml:space="preserve"> </v>
      </c>
      <c r="F2405" s="125"/>
      <c r="G2405" s="125"/>
      <c r="H2405" s="125"/>
    </row>
    <row r="2406" spans="2:8" ht="15" customHeight="1" x14ac:dyDescent="0.3">
      <c r="B2406" s="132"/>
      <c r="C2406" s="132"/>
      <c r="D2406" s="132"/>
      <c r="E2406" s="133" t="str">
        <f>IFERROR(VLOOKUP(C2406,'Base de donnée articles'!$B$8:$C$331,2,FALSE)," ")</f>
        <v xml:space="preserve"> </v>
      </c>
      <c r="F2406" s="132"/>
      <c r="G2406" s="132"/>
      <c r="H2406" s="132"/>
    </row>
    <row r="2407" spans="2:8" ht="15" customHeight="1" x14ac:dyDescent="0.3">
      <c r="E2407" s="124" t="str">
        <f>IFERROR(VLOOKUP(C2407,'Base de donnée articles'!$B$8:$C$331,2,FALSE)," ")</f>
        <v xml:space="preserve"> </v>
      </c>
    </row>
    <row r="2408" spans="2:8" ht="15" customHeight="1" x14ac:dyDescent="0.3">
      <c r="E2408" s="124" t="str">
        <f>IFERROR(VLOOKUP(C2408,'Base de donnée articles'!$B$8:$C$331,2,FALSE)," ")</f>
        <v xml:space="preserve"> </v>
      </c>
    </row>
    <row r="2409" spans="2:8" ht="15" customHeight="1" x14ac:dyDescent="0.3">
      <c r="E2409" s="124" t="str">
        <f>IFERROR(VLOOKUP(C2409,'Base de donnée articles'!$B$8:$C$331,2,FALSE)," ")</f>
        <v xml:space="preserve"> </v>
      </c>
    </row>
    <row r="2410" spans="2:8" ht="15" customHeight="1" x14ac:dyDescent="0.3">
      <c r="E2410" s="124" t="str">
        <f>IFERROR(VLOOKUP(C2410,'Base de donnée articles'!$B$8:$C$331,2,FALSE)," ")</f>
        <v xml:space="preserve"> </v>
      </c>
    </row>
    <row r="2411" spans="2:8" ht="15" customHeight="1" x14ac:dyDescent="0.3">
      <c r="E2411" s="124" t="str">
        <f>IFERROR(VLOOKUP(C2411,'Base de donnée articles'!$B$8:$C$331,2,FALSE)," ")</f>
        <v xml:space="preserve"> </v>
      </c>
    </row>
    <row r="2412" spans="2:8" ht="15" customHeight="1" x14ac:dyDescent="0.3">
      <c r="E2412" s="124" t="str">
        <f>IFERROR(VLOOKUP(C2412,'Base de donnée articles'!$B$8:$C$331,2,FALSE)," ")</f>
        <v xml:space="preserve"> </v>
      </c>
    </row>
    <row r="2413" spans="2:8" ht="15" customHeight="1" x14ac:dyDescent="0.3">
      <c r="E2413" s="124" t="str">
        <f>IFERROR(VLOOKUP(C2413,'Base de donnée articles'!$B$8:$C$331,2,FALSE)," ")</f>
        <v xml:space="preserve"> </v>
      </c>
    </row>
    <row r="2414" spans="2:8" ht="15" customHeight="1" x14ac:dyDescent="0.3">
      <c r="E2414" s="124" t="str">
        <f>IFERROR(VLOOKUP(C2414,'Base de donnée articles'!$B$8:$C$331,2,FALSE)," ")</f>
        <v xml:space="preserve"> </v>
      </c>
    </row>
    <row r="2415" spans="2:8" ht="15" customHeight="1" x14ac:dyDescent="0.3">
      <c r="E2415" s="124" t="str">
        <f>IFERROR(VLOOKUP(C2415,'Base de donnée articles'!$B$8:$C$331,2,FALSE)," ")</f>
        <v xml:space="preserve"> </v>
      </c>
    </row>
    <row r="2416" spans="2:8" ht="15" customHeight="1" x14ac:dyDescent="0.3">
      <c r="E2416" s="124" t="str">
        <f>IFERROR(VLOOKUP(C2416,'Base de donnée articles'!$B$8:$C$331,2,FALSE)," ")</f>
        <v xml:space="preserve"> </v>
      </c>
    </row>
    <row r="2417" spans="5:5" ht="15" customHeight="1" x14ac:dyDescent="0.3">
      <c r="E2417" s="124" t="str">
        <f>IFERROR(VLOOKUP(C2417,'Base de donnée articles'!$B$8:$C$331,2,FALSE)," ")</f>
        <v xml:space="preserve"> </v>
      </c>
    </row>
    <row r="2418" spans="5:5" ht="15" customHeight="1" x14ac:dyDescent="0.3">
      <c r="E2418" s="124" t="str">
        <f>IFERROR(VLOOKUP(C2418,'Base de donnée articles'!$B$8:$C$331,2,FALSE)," ")</f>
        <v xml:space="preserve"> </v>
      </c>
    </row>
    <row r="2419" spans="5:5" ht="15" customHeight="1" x14ac:dyDescent="0.3">
      <c r="E2419" s="124" t="str">
        <f>IFERROR(VLOOKUP(C2419,'Base de donnée articles'!$B$8:$C$331,2,FALSE)," ")</f>
        <v xml:space="preserve"> </v>
      </c>
    </row>
    <row r="2420" spans="5:5" ht="15" customHeight="1" x14ac:dyDescent="0.3">
      <c r="E2420" s="124" t="str">
        <f>IFERROR(VLOOKUP(C2420,'Base de donnée articles'!$B$8:$C$331,2,FALSE)," ")</f>
        <v xml:space="preserve"> </v>
      </c>
    </row>
    <row r="2421" spans="5:5" ht="15" customHeight="1" x14ac:dyDescent="0.3">
      <c r="E2421" s="124" t="str">
        <f>IFERROR(VLOOKUP(C2421,'Base de donnée articles'!$B$8:$C$331,2,FALSE)," ")</f>
        <v xml:space="preserve"> </v>
      </c>
    </row>
    <row r="2422" spans="5:5" ht="15" customHeight="1" x14ac:dyDescent="0.3">
      <c r="E2422" s="124" t="str">
        <f>IFERROR(VLOOKUP(C2422,'Base de donnée articles'!$B$8:$C$331,2,FALSE)," ")</f>
        <v xml:space="preserve"> </v>
      </c>
    </row>
    <row r="2423" spans="5:5" ht="15" customHeight="1" x14ac:dyDescent="0.3">
      <c r="E2423" s="124" t="str">
        <f>IFERROR(VLOOKUP(C2423,'Base de donnée articles'!$B$8:$C$331,2,FALSE)," ")</f>
        <v xml:space="preserve"> </v>
      </c>
    </row>
    <row r="2424" spans="5:5" ht="15" customHeight="1" x14ac:dyDescent="0.3">
      <c r="E2424" s="124" t="str">
        <f>IFERROR(VLOOKUP(C2424,'Base de donnée articles'!$B$8:$C$331,2,FALSE)," ")</f>
        <v xml:space="preserve"> </v>
      </c>
    </row>
    <row r="2425" spans="5:5" ht="15" customHeight="1" x14ac:dyDescent="0.3">
      <c r="E2425" s="124" t="str">
        <f>IFERROR(VLOOKUP(C2425,'Base de donnée articles'!$B$8:$C$331,2,FALSE)," ")</f>
        <v xml:space="preserve"> </v>
      </c>
    </row>
    <row r="2426" spans="5:5" ht="15" customHeight="1" x14ac:dyDescent="0.3">
      <c r="E2426" s="124" t="str">
        <f>IFERROR(VLOOKUP(C2426,'Base de donnée articles'!$B$8:$C$331,2,FALSE)," ")</f>
        <v xml:space="preserve"> </v>
      </c>
    </row>
    <row r="2427" spans="5:5" ht="15" customHeight="1" x14ac:dyDescent="0.3">
      <c r="E2427" s="124" t="str">
        <f>IFERROR(VLOOKUP(C2427,'Base de donnée articles'!$B$8:$C$331,2,FALSE)," ")</f>
        <v xml:space="preserve"> </v>
      </c>
    </row>
    <row r="2428" spans="5:5" ht="15" customHeight="1" x14ac:dyDescent="0.3">
      <c r="E2428" s="124" t="str">
        <f>IFERROR(VLOOKUP(C2428,'Base de donnée articles'!$B$8:$C$331,2,FALSE)," ")</f>
        <v xml:space="preserve"> </v>
      </c>
    </row>
    <row r="2429" spans="5:5" ht="15" customHeight="1" x14ac:dyDescent="0.3">
      <c r="E2429" s="124" t="str">
        <f>IFERROR(VLOOKUP(C2429,'Base de donnée articles'!$B$8:$C$331,2,FALSE)," ")</f>
        <v xml:space="preserve"> </v>
      </c>
    </row>
    <row r="2430" spans="5:5" ht="15" customHeight="1" x14ac:dyDescent="0.3">
      <c r="E2430" s="124" t="str">
        <f>IFERROR(VLOOKUP(C2430,'Base de donnée articles'!$B$8:$C$331,2,FALSE)," ")</f>
        <v xml:space="preserve"> </v>
      </c>
    </row>
    <row r="2431" spans="5:5" ht="15" customHeight="1" x14ac:dyDescent="0.3">
      <c r="E2431" s="124" t="str">
        <f>IFERROR(VLOOKUP(C2431,'Base de donnée articles'!$B$8:$C$331,2,FALSE)," ")</f>
        <v xml:space="preserve"> </v>
      </c>
    </row>
    <row r="2432" spans="5:5" ht="15" customHeight="1" x14ac:dyDescent="0.3">
      <c r="E2432" s="124" t="str">
        <f>IFERROR(VLOOKUP(C2432,'Base de donnée articles'!$B$8:$C$331,2,FALSE)," ")</f>
        <v xml:space="preserve"> </v>
      </c>
    </row>
    <row r="2433" spans="5:5" ht="15" customHeight="1" x14ac:dyDescent="0.3">
      <c r="E2433" s="124" t="str">
        <f>IFERROR(VLOOKUP(C2433,'Base de donnée articles'!$B$8:$C$331,2,FALSE)," ")</f>
        <v xml:space="preserve"> </v>
      </c>
    </row>
    <row r="2434" spans="5:5" ht="15" customHeight="1" x14ac:dyDescent="0.3">
      <c r="E2434" s="124" t="str">
        <f>IFERROR(VLOOKUP(C2434,'Base de donnée articles'!$B$8:$C$331,2,FALSE)," ")</f>
        <v xml:space="preserve"> </v>
      </c>
    </row>
    <row r="2435" spans="5:5" ht="15" customHeight="1" x14ac:dyDescent="0.3">
      <c r="E2435" s="124" t="str">
        <f>IFERROR(VLOOKUP(C2435,'Base de donnée articles'!$B$8:$C$331,2,FALSE)," ")</f>
        <v xml:space="preserve"> </v>
      </c>
    </row>
    <row r="2436" spans="5:5" ht="15" customHeight="1" x14ac:dyDescent="0.3">
      <c r="E2436" s="124" t="str">
        <f>IFERROR(VLOOKUP(C2436,'Base de donnée articles'!$B$8:$C$331,2,FALSE)," ")</f>
        <v xml:space="preserve"> </v>
      </c>
    </row>
    <row r="2437" spans="5:5" ht="15" customHeight="1" x14ac:dyDescent="0.3">
      <c r="E2437" s="124" t="str">
        <f>IFERROR(VLOOKUP(C2437,'Base de donnée articles'!$B$8:$C$331,2,FALSE)," ")</f>
        <v xml:space="preserve"> </v>
      </c>
    </row>
    <row r="2438" spans="5:5" ht="15" customHeight="1" x14ac:dyDescent="0.3">
      <c r="E2438" s="124" t="str">
        <f>IFERROR(VLOOKUP(C2438,'Base de donnée articles'!$B$8:$C$331,2,FALSE)," ")</f>
        <v xml:space="preserve"> </v>
      </c>
    </row>
    <row r="2439" spans="5:5" ht="15" customHeight="1" x14ac:dyDescent="0.3">
      <c r="E2439" s="124" t="str">
        <f>IFERROR(VLOOKUP(C2439,'Base de donnée articles'!$B$8:$C$331,2,FALSE)," ")</f>
        <v xml:space="preserve"> </v>
      </c>
    </row>
    <row r="2440" spans="5:5" ht="15" customHeight="1" x14ac:dyDescent="0.3">
      <c r="E2440" s="124" t="str">
        <f>IFERROR(VLOOKUP(C2440,'Base de donnée articles'!$B$8:$C$331,2,FALSE)," ")</f>
        <v xml:space="preserve"> </v>
      </c>
    </row>
    <row r="2441" spans="5:5" ht="15" customHeight="1" x14ac:dyDescent="0.3">
      <c r="E2441" s="124" t="str">
        <f>IFERROR(VLOOKUP(C2441,'Base de donnée articles'!$B$8:$C$331,2,FALSE)," ")</f>
        <v xml:space="preserve"> </v>
      </c>
    </row>
    <row r="2442" spans="5:5" ht="15" customHeight="1" x14ac:dyDescent="0.3">
      <c r="E2442" s="124" t="str">
        <f>IFERROR(VLOOKUP(C2442,'Base de donnée articles'!$B$8:$C$331,2,FALSE)," ")</f>
        <v xml:space="preserve"> </v>
      </c>
    </row>
    <row r="2443" spans="5:5" ht="15" customHeight="1" x14ac:dyDescent="0.3">
      <c r="E2443" s="124" t="str">
        <f>IFERROR(VLOOKUP(C2443,'Base de donnée articles'!$B$8:$C$331,2,FALSE)," ")</f>
        <v xml:space="preserve"> </v>
      </c>
    </row>
    <row r="2444" spans="5:5" ht="15" customHeight="1" x14ac:dyDescent="0.3">
      <c r="E2444" s="124" t="str">
        <f>IFERROR(VLOOKUP(C2444,'Base de donnée articles'!$B$8:$C$331,2,FALSE)," ")</f>
        <v xml:space="preserve"> </v>
      </c>
    </row>
    <row r="2445" spans="5:5" ht="15" customHeight="1" x14ac:dyDescent="0.3">
      <c r="E2445" s="124" t="str">
        <f>IFERROR(VLOOKUP(C2445,'Base de donnée articles'!$B$8:$C$331,2,FALSE)," ")</f>
        <v xml:space="preserve"> </v>
      </c>
    </row>
    <row r="2446" spans="5:5" ht="15" customHeight="1" x14ac:dyDescent="0.3">
      <c r="E2446" s="124" t="str">
        <f>IFERROR(VLOOKUP(C2446,'Base de donnée articles'!$B$8:$C$331,2,FALSE)," ")</f>
        <v xml:space="preserve"> </v>
      </c>
    </row>
    <row r="2447" spans="5:5" ht="15" customHeight="1" x14ac:dyDescent="0.3">
      <c r="E2447" s="124" t="str">
        <f>IFERROR(VLOOKUP(C2447,'Base de donnée articles'!$B$8:$C$331,2,FALSE)," ")</f>
        <v xml:space="preserve"> </v>
      </c>
    </row>
    <row r="2448" spans="5:5" ht="15" customHeight="1" x14ac:dyDescent="0.3">
      <c r="E2448" s="124" t="str">
        <f>IFERROR(VLOOKUP(C2448,'Base de donnée articles'!$B$8:$C$331,2,FALSE)," ")</f>
        <v xml:space="preserve"> </v>
      </c>
    </row>
    <row r="2449" spans="5:5" ht="15" customHeight="1" x14ac:dyDescent="0.3">
      <c r="E2449" s="124" t="str">
        <f>IFERROR(VLOOKUP(C2449,'Base de donnée articles'!$B$8:$C$331,2,FALSE)," ")</f>
        <v xml:space="preserve"> </v>
      </c>
    </row>
    <row r="2450" spans="5:5" ht="15" customHeight="1" x14ac:dyDescent="0.3">
      <c r="E2450" s="124" t="str">
        <f>IFERROR(VLOOKUP(C2450,'Base de donnée articles'!$B$8:$C$331,2,FALSE)," ")</f>
        <v xml:space="preserve"> </v>
      </c>
    </row>
    <row r="2451" spans="5:5" ht="15" customHeight="1" x14ac:dyDescent="0.3">
      <c r="E2451" s="124" t="str">
        <f>IFERROR(VLOOKUP(C2451,'Base de donnée articles'!$B$8:$C$331,2,FALSE)," ")</f>
        <v xml:space="preserve"> </v>
      </c>
    </row>
    <row r="2452" spans="5:5" ht="15" customHeight="1" x14ac:dyDescent="0.3">
      <c r="E2452" s="124" t="str">
        <f>IFERROR(VLOOKUP(C2452,'Base de donnée articles'!$B$8:$C$331,2,FALSE)," ")</f>
        <v xml:space="preserve"> </v>
      </c>
    </row>
    <row r="2453" spans="5:5" ht="15" customHeight="1" x14ac:dyDescent="0.3">
      <c r="E2453" s="124" t="str">
        <f>IFERROR(VLOOKUP(C2453,'Base de donnée articles'!$B$8:$C$331,2,FALSE)," ")</f>
        <v xml:space="preserve"> </v>
      </c>
    </row>
    <row r="2454" spans="5:5" ht="15" customHeight="1" x14ac:dyDescent="0.3">
      <c r="E2454" s="124" t="str">
        <f>IFERROR(VLOOKUP(C2454,'Base de donnée articles'!$B$8:$C$331,2,FALSE)," ")</f>
        <v xml:space="preserve"> </v>
      </c>
    </row>
    <row r="2455" spans="5:5" ht="15" customHeight="1" x14ac:dyDescent="0.3">
      <c r="E2455" s="124" t="str">
        <f>IFERROR(VLOOKUP(C2455,'Base de donnée articles'!$B$8:$C$331,2,FALSE)," ")</f>
        <v xml:space="preserve"> </v>
      </c>
    </row>
    <row r="2456" spans="5:5" ht="15" customHeight="1" x14ac:dyDescent="0.3">
      <c r="E2456" s="124" t="str">
        <f>IFERROR(VLOOKUP(C2456,'Base de donnée articles'!$B$8:$C$331,2,FALSE)," ")</f>
        <v xml:space="preserve"> </v>
      </c>
    </row>
    <row r="2457" spans="5:5" ht="15" customHeight="1" x14ac:dyDescent="0.3">
      <c r="E2457" s="124" t="str">
        <f>IFERROR(VLOOKUP(C2457,'Base de donnée articles'!$B$8:$C$331,2,FALSE)," ")</f>
        <v xml:space="preserve"> </v>
      </c>
    </row>
    <row r="2458" spans="5:5" ht="15" customHeight="1" x14ac:dyDescent="0.3">
      <c r="E2458" s="124" t="str">
        <f>IFERROR(VLOOKUP(C2458,'Base de donnée articles'!$B$8:$C$331,2,FALSE)," ")</f>
        <v xml:space="preserve"> </v>
      </c>
    </row>
    <row r="2459" spans="5:5" ht="15" customHeight="1" x14ac:dyDescent="0.3">
      <c r="E2459" s="124" t="str">
        <f>IFERROR(VLOOKUP(C2459,'Base de donnée articles'!$B$8:$C$331,2,FALSE)," ")</f>
        <v xml:space="preserve"> </v>
      </c>
    </row>
    <row r="2460" spans="5:5" ht="15" customHeight="1" x14ac:dyDescent="0.3">
      <c r="E2460" s="124" t="str">
        <f>IFERROR(VLOOKUP(C2460,'Base de donnée articles'!$B$8:$C$331,2,FALSE)," ")</f>
        <v xml:space="preserve"> </v>
      </c>
    </row>
    <row r="2461" spans="5:5" ht="15" customHeight="1" x14ac:dyDescent="0.3">
      <c r="E2461" s="124" t="str">
        <f>IFERROR(VLOOKUP(C2461,'Base de donnée articles'!$B$8:$C$331,2,FALSE)," ")</f>
        <v xml:space="preserve"> </v>
      </c>
    </row>
    <row r="2462" spans="5:5" ht="15" customHeight="1" x14ac:dyDescent="0.3">
      <c r="E2462" s="124" t="str">
        <f>IFERROR(VLOOKUP(C2462,'Base de donnée articles'!$B$8:$C$331,2,FALSE)," ")</f>
        <v xml:space="preserve"> </v>
      </c>
    </row>
    <row r="2463" spans="5:5" ht="15" customHeight="1" x14ac:dyDescent="0.3">
      <c r="E2463" s="124" t="str">
        <f>IFERROR(VLOOKUP(C2463,'Base de donnée articles'!$B$8:$C$331,2,FALSE)," ")</f>
        <v xml:space="preserve"> </v>
      </c>
    </row>
    <row r="2464" spans="5:5" ht="15" customHeight="1" x14ac:dyDescent="0.3">
      <c r="E2464" s="124" t="str">
        <f>IFERROR(VLOOKUP(C2464,'Base de donnée articles'!$B$8:$C$331,2,FALSE)," ")</f>
        <v xml:space="preserve"> </v>
      </c>
    </row>
    <row r="2465" spans="5:5" ht="15" customHeight="1" x14ac:dyDescent="0.3">
      <c r="E2465" s="124" t="str">
        <f>IFERROR(VLOOKUP(C2465,'Base de donnée articles'!$B$8:$C$331,2,FALSE)," ")</f>
        <v xml:space="preserve"> </v>
      </c>
    </row>
    <row r="2466" spans="5:5" ht="15" customHeight="1" x14ac:dyDescent="0.3">
      <c r="E2466" s="124" t="str">
        <f>IFERROR(VLOOKUP(C2466,'Base de donnée articles'!$B$8:$C$331,2,FALSE)," ")</f>
        <v xml:space="preserve"> </v>
      </c>
    </row>
    <row r="2467" spans="5:5" ht="15" customHeight="1" x14ac:dyDescent="0.3">
      <c r="E2467" s="124" t="str">
        <f>IFERROR(VLOOKUP(C2467,'Base de donnée articles'!$B$8:$C$331,2,FALSE)," ")</f>
        <v xml:space="preserve"> </v>
      </c>
    </row>
    <row r="2468" spans="5:5" ht="15" customHeight="1" x14ac:dyDescent="0.3">
      <c r="E2468" s="124" t="str">
        <f>IFERROR(VLOOKUP(C2468,'Base de donnée articles'!$B$8:$C$331,2,FALSE)," ")</f>
        <v xml:space="preserve"> </v>
      </c>
    </row>
    <row r="2469" spans="5:5" ht="15" customHeight="1" x14ac:dyDescent="0.3">
      <c r="E2469" s="124" t="str">
        <f>IFERROR(VLOOKUP(C2469,'Base de donnée articles'!$B$8:$C$331,2,FALSE)," ")</f>
        <v xml:space="preserve"> </v>
      </c>
    </row>
    <row r="2470" spans="5:5" ht="15" customHeight="1" x14ac:dyDescent="0.3">
      <c r="E2470" s="124" t="str">
        <f>IFERROR(VLOOKUP(C2470,'Base de donnée articles'!$B$8:$C$331,2,FALSE)," ")</f>
        <v xml:space="preserve"> </v>
      </c>
    </row>
    <row r="2471" spans="5:5" ht="15" customHeight="1" x14ac:dyDescent="0.3">
      <c r="E2471" s="124" t="str">
        <f>IFERROR(VLOOKUP(C2471,'Base de donnée articles'!$B$8:$C$331,2,FALSE)," ")</f>
        <v xml:space="preserve"> </v>
      </c>
    </row>
    <row r="2472" spans="5:5" ht="15" customHeight="1" x14ac:dyDescent="0.3">
      <c r="E2472" s="124" t="str">
        <f>IFERROR(VLOOKUP(C2472,'Base de donnée articles'!$B$8:$C$331,2,FALSE)," ")</f>
        <v xml:space="preserve"> </v>
      </c>
    </row>
    <row r="2473" spans="5:5" ht="15" customHeight="1" x14ac:dyDescent="0.3">
      <c r="E2473" s="124" t="str">
        <f>IFERROR(VLOOKUP(C2473,'Base de donnée articles'!$B$8:$C$331,2,FALSE)," ")</f>
        <v xml:space="preserve"> </v>
      </c>
    </row>
    <row r="2474" spans="5:5" ht="15" customHeight="1" x14ac:dyDescent="0.3">
      <c r="E2474" s="124" t="str">
        <f>IFERROR(VLOOKUP(C2474,'Base de donnée articles'!$B$8:$C$331,2,FALSE)," ")</f>
        <v xml:space="preserve"> </v>
      </c>
    </row>
    <row r="2475" spans="5:5" ht="15" customHeight="1" x14ac:dyDescent="0.3">
      <c r="E2475" s="124" t="str">
        <f>IFERROR(VLOOKUP(C2475,'Base de donnée articles'!$B$8:$C$331,2,FALSE)," ")</f>
        <v xml:space="preserve"> </v>
      </c>
    </row>
    <row r="2476" spans="5:5" ht="15" customHeight="1" x14ac:dyDescent="0.3">
      <c r="E2476" s="124" t="str">
        <f>IFERROR(VLOOKUP(C2476,'Base de donnée articles'!$B$8:$C$331,2,FALSE)," ")</f>
        <v xml:space="preserve"> </v>
      </c>
    </row>
    <row r="2477" spans="5:5" ht="15" customHeight="1" x14ac:dyDescent="0.3">
      <c r="E2477" s="124" t="str">
        <f>IFERROR(VLOOKUP(C2477,'Base de donnée articles'!$B$8:$C$331,2,FALSE)," ")</f>
        <v xml:space="preserve"> </v>
      </c>
    </row>
    <row r="2478" spans="5:5" ht="15" customHeight="1" x14ac:dyDescent="0.3">
      <c r="E2478" s="124" t="str">
        <f>IFERROR(VLOOKUP(C2478,'Base de donnée articles'!$B$8:$C$331,2,FALSE)," ")</f>
        <v xml:space="preserve"> </v>
      </c>
    </row>
    <row r="2479" spans="5:5" ht="15" customHeight="1" x14ac:dyDescent="0.3">
      <c r="E2479" s="124" t="str">
        <f>IFERROR(VLOOKUP(C2479,'Base de donnée articles'!$B$8:$C$331,2,FALSE)," ")</f>
        <v xml:space="preserve"> </v>
      </c>
    </row>
    <row r="2480" spans="5:5" ht="15" customHeight="1" x14ac:dyDescent="0.3">
      <c r="E2480" s="124" t="str">
        <f>IFERROR(VLOOKUP(C2480,'Base de donnée articles'!$B$8:$C$331,2,FALSE)," ")</f>
        <v xml:space="preserve"> </v>
      </c>
    </row>
    <row r="2481" spans="5:5" ht="15" customHeight="1" x14ac:dyDescent="0.3">
      <c r="E2481" s="124" t="str">
        <f>IFERROR(VLOOKUP(C2481,'Base de donnée articles'!$B$8:$C$331,2,FALSE)," ")</f>
        <v xml:space="preserve"> </v>
      </c>
    </row>
    <row r="2482" spans="5:5" ht="15" customHeight="1" x14ac:dyDescent="0.3">
      <c r="E2482" s="124" t="str">
        <f>IFERROR(VLOOKUP(C2482,'Base de donnée articles'!$B$8:$C$331,2,FALSE)," ")</f>
        <v xml:space="preserve"> </v>
      </c>
    </row>
    <row r="2483" spans="5:5" ht="15" customHeight="1" x14ac:dyDescent="0.3">
      <c r="E2483" s="124" t="str">
        <f>IFERROR(VLOOKUP(C2483,'Base de donnée articles'!$B$8:$C$331,2,FALSE)," ")</f>
        <v xml:space="preserve"> </v>
      </c>
    </row>
    <row r="2484" spans="5:5" ht="15" customHeight="1" x14ac:dyDescent="0.3">
      <c r="E2484" s="124" t="str">
        <f>IFERROR(VLOOKUP(C2484,'Base de donnée articles'!$B$8:$C$331,2,FALSE)," ")</f>
        <v xml:space="preserve"> </v>
      </c>
    </row>
    <row r="2485" spans="5:5" ht="15" customHeight="1" x14ac:dyDescent="0.3">
      <c r="E2485" s="124" t="str">
        <f>IFERROR(VLOOKUP(C2485,'Base de donnée articles'!$B$8:$C$331,2,FALSE)," ")</f>
        <v xml:space="preserve"> </v>
      </c>
    </row>
    <row r="2486" spans="5:5" ht="15" customHeight="1" x14ac:dyDescent="0.3">
      <c r="E2486" s="124" t="str">
        <f>IFERROR(VLOOKUP(C2486,'Base de donnée articles'!$B$8:$C$331,2,FALSE)," ")</f>
        <v xml:space="preserve"> </v>
      </c>
    </row>
    <row r="2487" spans="5:5" ht="15" customHeight="1" x14ac:dyDescent="0.3">
      <c r="E2487" s="124" t="str">
        <f>IFERROR(VLOOKUP(C2487,'Base de donnée articles'!$B$8:$C$331,2,FALSE)," ")</f>
        <v xml:space="preserve"> </v>
      </c>
    </row>
    <row r="2488" spans="5:5" ht="15" customHeight="1" x14ac:dyDescent="0.3">
      <c r="E2488" s="124" t="str">
        <f>IFERROR(VLOOKUP(C2488,'Base de donnée articles'!$B$8:$C$331,2,FALSE)," ")</f>
        <v xml:space="preserve"> </v>
      </c>
    </row>
    <row r="2489" spans="5:5" ht="15" customHeight="1" x14ac:dyDescent="0.3">
      <c r="E2489" s="124" t="str">
        <f>IFERROR(VLOOKUP(C2489,'Base de donnée articles'!$B$8:$C$331,2,FALSE)," ")</f>
        <v xml:space="preserve"> </v>
      </c>
    </row>
    <row r="2490" spans="5:5" ht="15" customHeight="1" x14ac:dyDescent="0.3">
      <c r="E2490" s="124" t="str">
        <f>IFERROR(VLOOKUP(C2490,'Base de donnée articles'!$B$8:$C$331,2,FALSE)," ")</f>
        <v xml:space="preserve"> </v>
      </c>
    </row>
    <row r="2491" spans="5:5" ht="15" customHeight="1" x14ac:dyDescent="0.3">
      <c r="E2491" s="124" t="str">
        <f>IFERROR(VLOOKUP(C2491,'Base de donnée articles'!$B$8:$C$331,2,FALSE)," ")</f>
        <v xml:space="preserve"> </v>
      </c>
    </row>
    <row r="2492" spans="5:5" ht="15" customHeight="1" x14ac:dyDescent="0.3">
      <c r="E2492" s="124" t="str">
        <f>IFERROR(VLOOKUP(C2492,'Base de donnée articles'!$B$8:$C$331,2,FALSE)," ")</f>
        <v xml:space="preserve"> </v>
      </c>
    </row>
    <row r="2493" spans="5:5" ht="15" customHeight="1" x14ac:dyDescent="0.3">
      <c r="E2493" s="124" t="str">
        <f>IFERROR(VLOOKUP(C2493,'Base de donnée articles'!$B$8:$C$331,2,FALSE)," ")</f>
        <v xml:space="preserve"> </v>
      </c>
    </row>
    <row r="2494" spans="5:5" ht="15" customHeight="1" x14ac:dyDescent="0.3">
      <c r="E2494" s="124" t="str">
        <f>IFERROR(VLOOKUP(C2494,'Base de donnée articles'!$B$8:$C$331,2,FALSE)," ")</f>
        <v xml:space="preserve"> </v>
      </c>
    </row>
    <row r="2495" spans="5:5" ht="15" customHeight="1" x14ac:dyDescent="0.3">
      <c r="E2495" s="124" t="str">
        <f>IFERROR(VLOOKUP(C2495,'Base de donnée articles'!$B$8:$C$331,2,FALSE)," ")</f>
        <v xml:space="preserve"> </v>
      </c>
    </row>
    <row r="2496" spans="5:5" ht="15" customHeight="1" x14ac:dyDescent="0.3">
      <c r="E2496" s="124" t="str">
        <f>IFERROR(VLOOKUP(C2496,'Base de donnée articles'!$B$8:$C$331,2,FALSE)," ")</f>
        <v xml:space="preserve"> </v>
      </c>
    </row>
    <row r="2497" spans="5:5" ht="15" customHeight="1" x14ac:dyDescent="0.3">
      <c r="E2497" s="124" t="str">
        <f>IFERROR(VLOOKUP(C2497,'Base de donnée articles'!$B$8:$C$331,2,FALSE)," ")</f>
        <v xml:space="preserve"> </v>
      </c>
    </row>
    <row r="2498" spans="5:5" ht="15" customHeight="1" x14ac:dyDescent="0.3">
      <c r="E2498" s="124" t="str">
        <f>IFERROR(VLOOKUP(C2498,'Base de donnée articles'!$B$8:$C$331,2,FALSE)," ")</f>
        <v xml:space="preserve"> </v>
      </c>
    </row>
    <row r="2499" spans="5:5" ht="15" customHeight="1" x14ac:dyDescent="0.3">
      <c r="E2499" s="124" t="str">
        <f>IFERROR(VLOOKUP(C2499,'Base de donnée articles'!$B$8:$C$331,2,FALSE)," ")</f>
        <v xml:space="preserve"> </v>
      </c>
    </row>
    <row r="2500" spans="5:5" ht="15" customHeight="1" x14ac:dyDescent="0.3">
      <c r="E2500" s="124" t="str">
        <f>IFERROR(VLOOKUP(C2500,'Base de donnée articles'!$B$8:$C$331,2,FALSE)," ")</f>
        <v xml:space="preserve"> </v>
      </c>
    </row>
    <row r="2501" spans="5:5" ht="15" customHeight="1" x14ac:dyDescent="0.3">
      <c r="E2501" s="124" t="str">
        <f>IFERROR(VLOOKUP(C2501,'Base de donnée articles'!$B$8:$C$331,2,FALSE)," ")</f>
        <v xml:space="preserve"> </v>
      </c>
    </row>
    <row r="2502" spans="5:5" ht="15" customHeight="1" x14ac:dyDescent="0.3">
      <c r="E2502" s="124" t="str">
        <f>IFERROR(VLOOKUP(C2502,'Base de donnée articles'!$B$8:$C$331,2,FALSE)," ")</f>
        <v xml:space="preserve"> </v>
      </c>
    </row>
    <row r="2503" spans="5:5" ht="15" customHeight="1" x14ac:dyDescent="0.3">
      <c r="E2503" s="124" t="str">
        <f>IFERROR(VLOOKUP(C2503,'Base de donnée articles'!$B$8:$C$331,2,FALSE)," ")</f>
        <v xml:space="preserve"> </v>
      </c>
    </row>
    <row r="2504" spans="5:5" ht="15" customHeight="1" x14ac:dyDescent="0.3">
      <c r="E2504" s="124" t="str">
        <f>IFERROR(VLOOKUP(C2504,'Base de donnée articles'!$B$8:$C$331,2,FALSE)," ")</f>
        <v xml:space="preserve"> </v>
      </c>
    </row>
    <row r="2505" spans="5:5" ht="15" customHeight="1" x14ac:dyDescent="0.3">
      <c r="E2505" s="124" t="str">
        <f>IFERROR(VLOOKUP(C2505,'Base de donnée articles'!$B$8:$C$331,2,FALSE)," ")</f>
        <v xml:space="preserve"> </v>
      </c>
    </row>
    <row r="2506" spans="5:5" ht="15" customHeight="1" x14ac:dyDescent="0.3">
      <c r="E2506" s="124" t="str">
        <f>IFERROR(VLOOKUP(C2506,'Base de donnée articles'!$B$8:$C$331,2,FALSE)," ")</f>
        <v xml:space="preserve"> </v>
      </c>
    </row>
    <row r="2507" spans="5:5" ht="15" customHeight="1" x14ac:dyDescent="0.3">
      <c r="E2507" s="124" t="str">
        <f>IFERROR(VLOOKUP(C2507,'Base de donnée articles'!$B$8:$C$331,2,FALSE)," ")</f>
        <v xml:space="preserve"> </v>
      </c>
    </row>
    <row r="2508" spans="5:5" ht="15" customHeight="1" x14ac:dyDescent="0.3">
      <c r="E2508" s="124" t="str">
        <f>IFERROR(VLOOKUP(C2508,'Base de donnée articles'!$B$8:$C$331,2,FALSE)," ")</f>
        <v xml:space="preserve"> </v>
      </c>
    </row>
    <row r="2509" spans="5:5" ht="15" customHeight="1" x14ac:dyDescent="0.3">
      <c r="E2509" s="124" t="str">
        <f>IFERROR(VLOOKUP(C2509,'Base de donnée articles'!$B$8:$C$331,2,FALSE)," ")</f>
        <v xml:space="preserve"> </v>
      </c>
    </row>
    <row r="2510" spans="5:5" ht="15" customHeight="1" x14ac:dyDescent="0.3">
      <c r="E2510" s="124" t="str">
        <f>IFERROR(VLOOKUP(C2510,'Base de donnée articles'!$B$8:$C$331,2,FALSE)," ")</f>
        <v xml:space="preserve"> </v>
      </c>
    </row>
    <row r="2511" spans="5:5" ht="15" customHeight="1" x14ac:dyDescent="0.3">
      <c r="E2511" s="124" t="str">
        <f>IFERROR(VLOOKUP(C2511,'Base de donnée articles'!$B$8:$C$331,2,FALSE)," ")</f>
        <v xml:space="preserve"> </v>
      </c>
    </row>
    <row r="2512" spans="5:5" ht="15" customHeight="1" x14ac:dyDescent="0.3">
      <c r="E2512" s="124" t="str">
        <f>IFERROR(VLOOKUP(C2512,'Base de donnée articles'!$B$8:$C$331,2,FALSE)," ")</f>
        <v xml:space="preserve"> </v>
      </c>
    </row>
    <row r="2513" spans="5:5" ht="15" customHeight="1" x14ac:dyDescent="0.3">
      <c r="E2513" s="124" t="str">
        <f>IFERROR(VLOOKUP(C2513,'Base de donnée articles'!$B$8:$C$331,2,FALSE)," ")</f>
        <v xml:space="preserve"> </v>
      </c>
    </row>
    <row r="2514" spans="5:5" ht="15" customHeight="1" x14ac:dyDescent="0.3">
      <c r="E2514" s="124" t="str">
        <f>IFERROR(VLOOKUP(C2514,'Base de donnée articles'!$B$8:$C$331,2,FALSE)," ")</f>
        <v xml:space="preserve"> </v>
      </c>
    </row>
    <row r="2515" spans="5:5" ht="15" customHeight="1" x14ac:dyDescent="0.3">
      <c r="E2515" s="124" t="str">
        <f>IFERROR(VLOOKUP(C2515,'Base de donnée articles'!$B$8:$C$331,2,FALSE)," ")</f>
        <v xml:space="preserve"> </v>
      </c>
    </row>
    <row r="2516" spans="5:5" ht="15" customHeight="1" x14ac:dyDescent="0.3">
      <c r="E2516" s="124" t="str">
        <f>IFERROR(VLOOKUP(C2516,'Base de donnée articles'!$B$8:$C$331,2,FALSE)," ")</f>
        <v xml:space="preserve"> </v>
      </c>
    </row>
    <row r="2517" spans="5:5" ht="15" customHeight="1" x14ac:dyDescent="0.3">
      <c r="E2517" s="124" t="str">
        <f>IFERROR(VLOOKUP(C2517,'Base de donnée articles'!$B$8:$C$331,2,FALSE)," ")</f>
        <v xml:space="preserve"> </v>
      </c>
    </row>
    <row r="2518" spans="5:5" ht="15" customHeight="1" x14ac:dyDescent="0.3">
      <c r="E2518" s="124" t="str">
        <f>IFERROR(VLOOKUP(C2518,'Base de donnée articles'!$B$8:$C$331,2,FALSE)," ")</f>
        <v xml:space="preserve"> </v>
      </c>
    </row>
    <row r="2519" spans="5:5" ht="15" customHeight="1" x14ac:dyDescent="0.3">
      <c r="E2519" s="124" t="str">
        <f>IFERROR(VLOOKUP(C2519,'Base de donnée articles'!$B$8:$C$331,2,FALSE)," ")</f>
        <v xml:space="preserve"> </v>
      </c>
    </row>
    <row r="2520" spans="5:5" ht="15" customHeight="1" x14ac:dyDescent="0.3">
      <c r="E2520" s="124" t="str">
        <f>IFERROR(VLOOKUP(C2520,'Base de donnée articles'!$B$8:$C$331,2,FALSE)," ")</f>
        <v xml:space="preserve"> </v>
      </c>
    </row>
    <row r="2521" spans="5:5" ht="15" customHeight="1" x14ac:dyDescent="0.3">
      <c r="E2521" s="124" t="str">
        <f>IFERROR(VLOOKUP(C2521,'Base de donnée articles'!$B$8:$C$331,2,FALSE)," ")</f>
        <v xml:space="preserve"> </v>
      </c>
    </row>
    <row r="2522" spans="5:5" ht="15" customHeight="1" x14ac:dyDescent="0.3">
      <c r="E2522" s="124" t="str">
        <f>IFERROR(VLOOKUP(C2522,'Base de donnée articles'!$B$8:$C$331,2,FALSE)," ")</f>
        <v xml:space="preserve"> </v>
      </c>
    </row>
    <row r="2523" spans="5:5" ht="15" customHeight="1" x14ac:dyDescent="0.3">
      <c r="E2523" s="124" t="str">
        <f>IFERROR(VLOOKUP(C2523,'Base de donnée articles'!$B$8:$C$331,2,FALSE)," ")</f>
        <v xml:space="preserve"> </v>
      </c>
    </row>
    <row r="2524" spans="5:5" ht="15" customHeight="1" x14ac:dyDescent="0.3">
      <c r="E2524" s="124" t="str">
        <f>IFERROR(VLOOKUP(C2524,'Base de donnée articles'!$B$8:$C$331,2,FALSE)," ")</f>
        <v xml:space="preserve"> </v>
      </c>
    </row>
    <row r="2525" spans="5:5" ht="15" customHeight="1" x14ac:dyDescent="0.3">
      <c r="E2525" s="124" t="str">
        <f>IFERROR(VLOOKUP(C2525,'Base de donnée articles'!$B$8:$C$331,2,FALSE)," ")</f>
        <v xml:space="preserve"> </v>
      </c>
    </row>
    <row r="2526" spans="5:5" ht="15" customHeight="1" x14ac:dyDescent="0.3">
      <c r="E2526" s="124" t="str">
        <f>IFERROR(VLOOKUP(C2526,'Base de donnée articles'!$B$8:$C$331,2,FALSE)," ")</f>
        <v xml:space="preserve"> </v>
      </c>
    </row>
    <row r="2527" spans="5:5" ht="15" customHeight="1" x14ac:dyDescent="0.3">
      <c r="E2527" s="124" t="str">
        <f>IFERROR(VLOOKUP(C2527,'Base de donnée articles'!$B$8:$C$331,2,FALSE)," ")</f>
        <v xml:space="preserve"> </v>
      </c>
    </row>
    <row r="2528" spans="5:5" ht="15" customHeight="1" x14ac:dyDescent="0.3">
      <c r="E2528" s="124" t="str">
        <f>IFERROR(VLOOKUP(C2528,'Base de donnée articles'!$B$8:$C$331,2,FALSE)," ")</f>
        <v xml:space="preserve"> </v>
      </c>
    </row>
    <row r="2529" spans="5:5" ht="15" customHeight="1" x14ac:dyDescent="0.3">
      <c r="E2529" s="124" t="str">
        <f>IFERROR(VLOOKUP(C2529,'Base de donnée articles'!$B$8:$C$331,2,FALSE)," ")</f>
        <v xml:space="preserve"> </v>
      </c>
    </row>
    <row r="2530" spans="5:5" ht="15" customHeight="1" x14ac:dyDescent="0.3">
      <c r="E2530" s="124" t="str">
        <f>IFERROR(VLOOKUP(C2530,'Base de donnée articles'!$B$8:$C$331,2,FALSE)," ")</f>
        <v xml:space="preserve"> </v>
      </c>
    </row>
    <row r="2531" spans="5:5" ht="15" customHeight="1" x14ac:dyDescent="0.3">
      <c r="E2531" s="124" t="str">
        <f>IFERROR(VLOOKUP(C2531,'Base de donnée articles'!$B$8:$C$331,2,FALSE)," ")</f>
        <v xml:space="preserve"> </v>
      </c>
    </row>
    <row r="2532" spans="5:5" ht="15" customHeight="1" x14ac:dyDescent="0.3">
      <c r="E2532" s="124" t="str">
        <f>IFERROR(VLOOKUP(C2532,'Base de donnée articles'!$B$8:$C$331,2,FALSE)," ")</f>
        <v xml:space="preserve"> </v>
      </c>
    </row>
    <row r="2533" spans="5:5" ht="15" customHeight="1" x14ac:dyDescent="0.3">
      <c r="E2533" s="124" t="str">
        <f>IFERROR(VLOOKUP(C2533,'Base de donnée articles'!$B$8:$C$331,2,FALSE)," ")</f>
        <v xml:space="preserve"> </v>
      </c>
    </row>
    <row r="2534" spans="5:5" ht="15" customHeight="1" x14ac:dyDescent="0.3">
      <c r="E2534" s="124" t="str">
        <f>IFERROR(VLOOKUP(C2534,'Base de donnée articles'!$B$8:$C$331,2,FALSE)," ")</f>
        <v xml:space="preserve"> </v>
      </c>
    </row>
    <row r="2535" spans="5:5" ht="15" customHeight="1" x14ac:dyDescent="0.3">
      <c r="E2535" s="124" t="str">
        <f>IFERROR(VLOOKUP(C2535,'Base de donnée articles'!$B$8:$C$331,2,FALSE)," ")</f>
        <v xml:space="preserve"> </v>
      </c>
    </row>
    <row r="2536" spans="5:5" ht="15" customHeight="1" x14ac:dyDescent="0.3">
      <c r="E2536" s="124" t="str">
        <f>IFERROR(VLOOKUP(C2536,'Base de donnée articles'!$B$8:$C$331,2,FALSE)," ")</f>
        <v xml:space="preserve"> </v>
      </c>
    </row>
    <row r="2537" spans="5:5" ht="15" customHeight="1" x14ac:dyDescent="0.3">
      <c r="E2537" s="124" t="str">
        <f>IFERROR(VLOOKUP(C2537,'Base de donnée articles'!$B$8:$C$331,2,FALSE)," ")</f>
        <v xml:space="preserve"> </v>
      </c>
    </row>
    <row r="2538" spans="5:5" ht="15" customHeight="1" x14ac:dyDescent="0.3">
      <c r="E2538" s="124" t="str">
        <f>IFERROR(VLOOKUP(C2538,'Base de donnée articles'!$B$8:$C$331,2,FALSE)," ")</f>
        <v xml:space="preserve"> </v>
      </c>
    </row>
    <row r="2539" spans="5:5" ht="15" customHeight="1" x14ac:dyDescent="0.3">
      <c r="E2539" s="124" t="str">
        <f>IFERROR(VLOOKUP(C2539,'Base de donnée articles'!$B$8:$C$331,2,FALSE)," ")</f>
        <v xml:space="preserve"> </v>
      </c>
    </row>
    <row r="2540" spans="5:5" ht="15" customHeight="1" x14ac:dyDescent="0.3">
      <c r="E2540" s="124" t="str">
        <f>IFERROR(VLOOKUP(C2540,'Base de donnée articles'!$B$8:$C$331,2,FALSE)," ")</f>
        <v xml:space="preserve"> </v>
      </c>
    </row>
    <row r="2541" spans="5:5" ht="15" customHeight="1" x14ac:dyDescent="0.3">
      <c r="E2541" s="124" t="str">
        <f>IFERROR(VLOOKUP(C2541,'Base de donnée articles'!$B$8:$C$331,2,FALSE)," ")</f>
        <v xml:space="preserve"> </v>
      </c>
    </row>
    <row r="2542" spans="5:5" ht="15" customHeight="1" x14ac:dyDescent="0.3">
      <c r="E2542" s="124" t="str">
        <f>IFERROR(VLOOKUP(C2542,'Base de donnée articles'!$B$8:$C$331,2,FALSE)," ")</f>
        <v xml:space="preserve"> </v>
      </c>
    </row>
    <row r="2543" spans="5:5" ht="15" customHeight="1" x14ac:dyDescent="0.3">
      <c r="E2543" s="124" t="str">
        <f>IFERROR(VLOOKUP(C2543,'Base de donnée articles'!$B$8:$C$331,2,FALSE)," ")</f>
        <v xml:space="preserve"> </v>
      </c>
    </row>
    <row r="2544" spans="5:5" ht="15" customHeight="1" x14ac:dyDescent="0.3">
      <c r="E2544" s="124" t="str">
        <f>IFERROR(VLOOKUP(C2544,'Base de donnée articles'!$B$8:$C$331,2,FALSE)," ")</f>
        <v xml:space="preserve"> </v>
      </c>
    </row>
    <row r="2545" spans="5:5" ht="15" customHeight="1" x14ac:dyDescent="0.3">
      <c r="E2545" s="124" t="str">
        <f>IFERROR(VLOOKUP(C2545,'Base de donnée articles'!$B$8:$C$331,2,FALSE)," ")</f>
        <v xml:space="preserve"> </v>
      </c>
    </row>
    <row r="2546" spans="5:5" ht="15" customHeight="1" x14ac:dyDescent="0.3">
      <c r="E2546" s="124" t="str">
        <f>IFERROR(VLOOKUP(C2546,'Base de donnée articles'!$B$8:$C$331,2,FALSE)," ")</f>
        <v xml:space="preserve"> </v>
      </c>
    </row>
    <row r="2547" spans="5:5" ht="15" customHeight="1" x14ac:dyDescent="0.3">
      <c r="E2547" s="124" t="str">
        <f>IFERROR(VLOOKUP(C2547,'Base de donnée articles'!$B$8:$C$331,2,FALSE)," ")</f>
        <v xml:space="preserve"> </v>
      </c>
    </row>
    <row r="2548" spans="5:5" ht="15" customHeight="1" x14ac:dyDescent="0.3">
      <c r="E2548" s="124" t="str">
        <f>IFERROR(VLOOKUP(C2548,'Base de donnée articles'!$B$8:$C$331,2,FALSE)," ")</f>
        <v xml:space="preserve"> </v>
      </c>
    </row>
    <row r="2549" spans="5:5" ht="15" customHeight="1" x14ac:dyDescent="0.3">
      <c r="E2549" s="124" t="str">
        <f>IFERROR(VLOOKUP(C2549,'Base de donnée articles'!$B$8:$C$331,2,FALSE)," ")</f>
        <v xml:space="preserve"> </v>
      </c>
    </row>
    <row r="2550" spans="5:5" ht="15" customHeight="1" x14ac:dyDescent="0.3">
      <c r="E2550" s="124" t="str">
        <f>IFERROR(VLOOKUP(C2550,'Base de donnée articles'!$B$8:$C$331,2,FALSE)," ")</f>
        <v xml:space="preserve"> </v>
      </c>
    </row>
    <row r="2551" spans="5:5" ht="15" customHeight="1" x14ac:dyDescent="0.3">
      <c r="E2551" s="124" t="str">
        <f>IFERROR(VLOOKUP(C2551,'Base de donnée articles'!$B$8:$C$331,2,FALSE)," ")</f>
        <v xml:space="preserve"> </v>
      </c>
    </row>
    <row r="2552" spans="5:5" ht="15" customHeight="1" x14ac:dyDescent="0.3">
      <c r="E2552" s="124" t="str">
        <f>IFERROR(VLOOKUP(C2552,'Base de donnée articles'!$B$8:$C$331,2,FALSE)," ")</f>
        <v xml:space="preserve"> </v>
      </c>
    </row>
    <row r="2553" spans="5:5" ht="15" customHeight="1" x14ac:dyDescent="0.3">
      <c r="E2553" s="124" t="str">
        <f>IFERROR(VLOOKUP(C2553,'Base de donnée articles'!$B$8:$C$331,2,FALSE)," ")</f>
        <v xml:space="preserve"> </v>
      </c>
    </row>
    <row r="2554" spans="5:5" ht="15" customHeight="1" x14ac:dyDescent="0.3">
      <c r="E2554" s="124" t="str">
        <f>IFERROR(VLOOKUP(C2554,'Base de donnée articles'!$B$8:$C$331,2,FALSE)," ")</f>
        <v xml:space="preserve"> </v>
      </c>
    </row>
    <row r="2555" spans="5:5" ht="15" customHeight="1" x14ac:dyDescent="0.3">
      <c r="E2555" s="124" t="str">
        <f>IFERROR(VLOOKUP(C2555,'Base de donnée articles'!$B$8:$C$331,2,FALSE)," ")</f>
        <v xml:space="preserve"> </v>
      </c>
    </row>
    <row r="2556" spans="5:5" ht="15" customHeight="1" x14ac:dyDescent="0.3">
      <c r="E2556" s="124" t="str">
        <f>IFERROR(VLOOKUP(C2556,'Base de donnée articles'!$B$8:$C$331,2,FALSE)," ")</f>
        <v xml:space="preserve"> </v>
      </c>
    </row>
    <row r="2557" spans="5:5" ht="15" customHeight="1" x14ac:dyDescent="0.3">
      <c r="E2557" s="124" t="str">
        <f>IFERROR(VLOOKUP(C2557,'Base de donnée articles'!$B$8:$C$331,2,FALSE)," ")</f>
        <v xml:space="preserve"> </v>
      </c>
    </row>
    <row r="2558" spans="5:5" ht="15" customHeight="1" x14ac:dyDescent="0.3">
      <c r="E2558" s="124" t="str">
        <f>IFERROR(VLOOKUP(C2558,'Base de donnée articles'!$B$8:$C$331,2,FALSE)," ")</f>
        <v xml:space="preserve"> </v>
      </c>
    </row>
    <row r="2559" spans="5:5" ht="15" customHeight="1" x14ac:dyDescent="0.3">
      <c r="E2559" s="124" t="str">
        <f>IFERROR(VLOOKUP(C2559,'Base de donnée articles'!$B$8:$C$331,2,FALSE)," ")</f>
        <v xml:space="preserve"> </v>
      </c>
    </row>
    <row r="2560" spans="5:5" ht="15" customHeight="1" x14ac:dyDescent="0.3">
      <c r="E2560" s="124" t="str">
        <f>IFERROR(VLOOKUP(C2560,'Base de donnée articles'!$B$8:$C$331,2,FALSE)," ")</f>
        <v xml:space="preserve"> </v>
      </c>
    </row>
    <row r="2561" spans="5:5" ht="15" customHeight="1" x14ac:dyDescent="0.3">
      <c r="E2561" s="124" t="str">
        <f>IFERROR(VLOOKUP(C2561,'Base de donnée articles'!$B$8:$C$331,2,FALSE)," ")</f>
        <v xml:space="preserve"> </v>
      </c>
    </row>
    <row r="2562" spans="5:5" ht="15" customHeight="1" x14ac:dyDescent="0.3">
      <c r="E2562" s="124" t="str">
        <f>IFERROR(VLOOKUP(C2562,'Base de donnée articles'!$B$8:$C$331,2,FALSE)," ")</f>
        <v xml:space="preserve"> </v>
      </c>
    </row>
    <row r="2563" spans="5:5" ht="15" customHeight="1" x14ac:dyDescent="0.3">
      <c r="E2563" s="124" t="str">
        <f>IFERROR(VLOOKUP(C2563,'Base de donnée articles'!$B$8:$C$331,2,FALSE)," ")</f>
        <v xml:space="preserve"> </v>
      </c>
    </row>
    <row r="2564" spans="5:5" ht="15" customHeight="1" x14ac:dyDescent="0.3">
      <c r="E2564" s="124" t="str">
        <f>IFERROR(VLOOKUP(C2564,'Base de donnée articles'!$B$8:$C$331,2,FALSE)," ")</f>
        <v xml:space="preserve"> </v>
      </c>
    </row>
    <row r="2565" spans="5:5" ht="15" customHeight="1" x14ac:dyDescent="0.3">
      <c r="E2565" s="124" t="str">
        <f>IFERROR(VLOOKUP(C2565,'Base de donnée articles'!$B$8:$C$331,2,FALSE)," ")</f>
        <v xml:space="preserve"> </v>
      </c>
    </row>
    <row r="2566" spans="5:5" ht="15" customHeight="1" x14ac:dyDescent="0.3">
      <c r="E2566" s="124" t="str">
        <f>IFERROR(VLOOKUP(C2566,'Base de donnée articles'!$B$8:$C$331,2,FALSE)," ")</f>
        <v xml:space="preserve"> </v>
      </c>
    </row>
    <row r="2567" spans="5:5" ht="15" customHeight="1" x14ac:dyDescent="0.3">
      <c r="E2567" s="124" t="str">
        <f>IFERROR(VLOOKUP(C2567,'Base de donnée articles'!$B$8:$C$331,2,FALSE)," ")</f>
        <v xml:space="preserve"> </v>
      </c>
    </row>
    <row r="2568" spans="5:5" ht="15" customHeight="1" x14ac:dyDescent="0.3">
      <c r="E2568" s="124" t="str">
        <f>IFERROR(VLOOKUP(C2568,'Base de donnée articles'!$B$8:$C$331,2,FALSE)," ")</f>
        <v xml:space="preserve"> </v>
      </c>
    </row>
    <row r="2569" spans="5:5" ht="15" customHeight="1" x14ac:dyDescent="0.3">
      <c r="E2569" s="124" t="str">
        <f>IFERROR(VLOOKUP(C2569,'Base de donnée articles'!$B$8:$C$331,2,FALSE)," ")</f>
        <v xml:space="preserve"> </v>
      </c>
    </row>
    <row r="2570" spans="5:5" ht="15" customHeight="1" x14ac:dyDescent="0.3">
      <c r="E2570" s="124" t="str">
        <f>IFERROR(VLOOKUP(C2570,'Base de donnée articles'!$B$8:$C$331,2,FALSE)," ")</f>
        <v xml:space="preserve"> </v>
      </c>
    </row>
    <row r="2571" spans="5:5" ht="15" customHeight="1" x14ac:dyDescent="0.3">
      <c r="E2571" s="124" t="str">
        <f>IFERROR(VLOOKUP(C2571,'Base de donnée articles'!$B$8:$C$331,2,FALSE)," ")</f>
        <v xml:space="preserve"> </v>
      </c>
    </row>
    <row r="2572" spans="5:5" ht="15" customHeight="1" x14ac:dyDescent="0.3">
      <c r="E2572" s="124" t="str">
        <f>IFERROR(VLOOKUP(C2572,'Base de donnée articles'!$B$8:$C$331,2,FALSE)," ")</f>
        <v xml:space="preserve"> </v>
      </c>
    </row>
    <row r="2573" spans="5:5" ht="15" customHeight="1" x14ac:dyDescent="0.3">
      <c r="E2573" s="124" t="str">
        <f>IFERROR(VLOOKUP(C2573,'Base de donnée articles'!$B$8:$C$331,2,FALSE)," ")</f>
        <v xml:space="preserve"> </v>
      </c>
    </row>
    <row r="2574" spans="5:5" ht="15" customHeight="1" x14ac:dyDescent="0.3">
      <c r="E2574" s="124" t="str">
        <f>IFERROR(VLOOKUP(C2574,'Base de donnée articles'!$B$8:$C$331,2,FALSE)," ")</f>
        <v xml:space="preserve"> </v>
      </c>
    </row>
    <row r="2575" spans="5:5" ht="15" customHeight="1" x14ac:dyDescent="0.3">
      <c r="E2575" s="124" t="str">
        <f>IFERROR(VLOOKUP(C2575,'Base de donnée articles'!$B$8:$C$331,2,FALSE)," ")</f>
        <v xml:space="preserve"> </v>
      </c>
    </row>
    <row r="2576" spans="5:5" ht="15" customHeight="1" x14ac:dyDescent="0.3">
      <c r="E2576" s="124" t="str">
        <f>IFERROR(VLOOKUP(C2576,'Base de donnée articles'!$B$8:$C$331,2,FALSE)," ")</f>
        <v xml:space="preserve"> </v>
      </c>
    </row>
    <row r="2577" spans="5:5" ht="15" customHeight="1" x14ac:dyDescent="0.3">
      <c r="E2577" s="124" t="str">
        <f>IFERROR(VLOOKUP(C2577,'Base de donnée articles'!$B$8:$C$331,2,FALSE)," ")</f>
        <v xml:space="preserve"> </v>
      </c>
    </row>
    <row r="2578" spans="5:5" ht="15" customHeight="1" x14ac:dyDescent="0.3">
      <c r="E2578" s="124" t="str">
        <f>IFERROR(VLOOKUP(C2578,'Base de donnée articles'!$B$8:$C$331,2,FALSE)," ")</f>
        <v xml:space="preserve"> </v>
      </c>
    </row>
    <row r="2579" spans="5:5" ht="15" customHeight="1" x14ac:dyDescent="0.3">
      <c r="E2579" s="124" t="str">
        <f>IFERROR(VLOOKUP(C2579,'Base de donnée articles'!$B$8:$C$331,2,FALSE)," ")</f>
        <v xml:space="preserve"> </v>
      </c>
    </row>
    <row r="2580" spans="5:5" ht="15" customHeight="1" x14ac:dyDescent="0.3">
      <c r="E2580" s="124" t="str">
        <f>IFERROR(VLOOKUP(C2580,'Base de donnée articles'!$B$8:$C$331,2,FALSE)," ")</f>
        <v xml:space="preserve"> </v>
      </c>
    </row>
    <row r="2581" spans="5:5" ht="15" customHeight="1" x14ac:dyDescent="0.3">
      <c r="E2581" s="124" t="str">
        <f>IFERROR(VLOOKUP(C2581,'Base de donnée articles'!$B$8:$C$331,2,FALSE)," ")</f>
        <v xml:space="preserve"> </v>
      </c>
    </row>
    <row r="2582" spans="5:5" ht="15" customHeight="1" x14ac:dyDescent="0.3">
      <c r="E2582" s="124" t="str">
        <f>IFERROR(VLOOKUP(C2582,'Base de donnée articles'!$B$8:$C$331,2,FALSE)," ")</f>
        <v xml:space="preserve"> </v>
      </c>
    </row>
    <row r="2583" spans="5:5" ht="15" customHeight="1" x14ac:dyDescent="0.3">
      <c r="E2583" s="124" t="str">
        <f>IFERROR(VLOOKUP(C2583,'Base de donnée articles'!$B$8:$C$331,2,FALSE)," ")</f>
        <v xml:space="preserve"> </v>
      </c>
    </row>
    <row r="2584" spans="5:5" ht="15" customHeight="1" x14ac:dyDescent="0.3">
      <c r="E2584" s="124" t="str">
        <f>IFERROR(VLOOKUP(C2584,'Base de donnée articles'!$B$8:$C$331,2,FALSE)," ")</f>
        <v xml:space="preserve"> </v>
      </c>
    </row>
    <row r="2585" spans="5:5" ht="15" customHeight="1" x14ac:dyDescent="0.3">
      <c r="E2585" s="124" t="str">
        <f>IFERROR(VLOOKUP(C2585,'Base de donnée articles'!$B$8:$C$331,2,FALSE)," ")</f>
        <v xml:space="preserve"> </v>
      </c>
    </row>
    <row r="2586" spans="5:5" ht="15" customHeight="1" x14ac:dyDescent="0.3">
      <c r="E2586" s="124" t="str">
        <f>IFERROR(VLOOKUP(C2586,'Base de donnée articles'!$B$8:$C$331,2,FALSE)," ")</f>
        <v xml:space="preserve"> </v>
      </c>
    </row>
    <row r="2587" spans="5:5" ht="15" customHeight="1" x14ac:dyDescent="0.3">
      <c r="E2587" s="124" t="str">
        <f>IFERROR(VLOOKUP(C2587,'Base de donnée articles'!$B$8:$C$331,2,FALSE)," ")</f>
        <v xml:space="preserve"> </v>
      </c>
    </row>
    <row r="2588" spans="5:5" ht="15" customHeight="1" x14ac:dyDescent="0.3">
      <c r="E2588" s="124" t="str">
        <f>IFERROR(VLOOKUP(C2588,'Base de donnée articles'!$B$8:$C$331,2,FALSE)," ")</f>
        <v xml:space="preserve"> </v>
      </c>
    </row>
    <row r="2589" spans="5:5" ht="15" customHeight="1" x14ac:dyDescent="0.3">
      <c r="E2589" s="124" t="str">
        <f>IFERROR(VLOOKUP(C2589,'Base de donnée articles'!$B$8:$C$331,2,FALSE)," ")</f>
        <v xml:space="preserve"> </v>
      </c>
    </row>
    <row r="2590" spans="5:5" ht="15" customHeight="1" x14ac:dyDescent="0.3">
      <c r="E2590" s="124" t="str">
        <f>IFERROR(VLOOKUP(C2590,'Base de donnée articles'!$B$8:$C$331,2,FALSE)," ")</f>
        <v xml:space="preserve"> </v>
      </c>
    </row>
    <row r="2591" spans="5:5" ht="15" customHeight="1" x14ac:dyDescent="0.3">
      <c r="E2591" s="124" t="str">
        <f>IFERROR(VLOOKUP(C2591,'Base de donnée articles'!$B$8:$C$331,2,FALSE)," ")</f>
        <v xml:space="preserve"> </v>
      </c>
    </row>
    <row r="2592" spans="5:5" ht="15" customHeight="1" x14ac:dyDescent="0.3">
      <c r="E2592" s="124" t="str">
        <f>IFERROR(VLOOKUP(C2592,'Base de donnée articles'!$B$8:$C$331,2,FALSE)," ")</f>
        <v xml:space="preserve"> </v>
      </c>
    </row>
    <row r="2593" spans="5:5" ht="15" customHeight="1" x14ac:dyDescent="0.3">
      <c r="E2593" s="124" t="str">
        <f>IFERROR(VLOOKUP(C2593,'Base de donnée articles'!$B$8:$C$331,2,FALSE)," ")</f>
        <v xml:space="preserve"> </v>
      </c>
    </row>
    <row r="2594" spans="5:5" ht="15" customHeight="1" x14ac:dyDescent="0.3">
      <c r="E2594" s="124" t="str">
        <f>IFERROR(VLOOKUP(C2594,'Base de donnée articles'!$B$8:$C$331,2,FALSE)," ")</f>
        <v xml:space="preserve"> </v>
      </c>
    </row>
    <row r="2595" spans="5:5" ht="15" customHeight="1" x14ac:dyDescent="0.3">
      <c r="E2595" s="124" t="str">
        <f>IFERROR(VLOOKUP(C2595,'Base de donnée articles'!$B$8:$C$331,2,FALSE)," ")</f>
        <v xml:space="preserve"> </v>
      </c>
    </row>
    <row r="2596" spans="5:5" ht="15" customHeight="1" x14ac:dyDescent="0.3">
      <c r="E2596" s="124" t="str">
        <f>IFERROR(VLOOKUP(C2596,'Base de donnée articles'!$B$8:$C$331,2,FALSE)," ")</f>
        <v xml:space="preserve"> </v>
      </c>
    </row>
    <row r="2597" spans="5:5" ht="15" customHeight="1" x14ac:dyDescent="0.3">
      <c r="E2597" s="124" t="str">
        <f>IFERROR(VLOOKUP(C2597,'Base de donnée articles'!$B$8:$C$331,2,FALSE)," ")</f>
        <v xml:space="preserve"> </v>
      </c>
    </row>
    <row r="2598" spans="5:5" ht="15" customHeight="1" x14ac:dyDescent="0.3">
      <c r="E2598" s="124" t="str">
        <f>IFERROR(VLOOKUP(C2598,'Base de donnée articles'!$B$8:$C$331,2,FALSE)," ")</f>
        <v xml:space="preserve"> </v>
      </c>
    </row>
    <row r="2599" spans="5:5" ht="15" customHeight="1" x14ac:dyDescent="0.3">
      <c r="E2599" s="124" t="str">
        <f>IFERROR(VLOOKUP(C2599,'Base de donnée articles'!$B$8:$C$331,2,FALSE)," ")</f>
        <v xml:space="preserve"> </v>
      </c>
    </row>
    <row r="2600" spans="5:5" ht="15" customHeight="1" x14ac:dyDescent="0.3">
      <c r="E2600" s="124" t="str">
        <f>IFERROR(VLOOKUP(C2600,'Base de donnée articles'!$B$8:$C$331,2,FALSE)," ")</f>
        <v xml:space="preserve"> </v>
      </c>
    </row>
    <row r="2601" spans="5:5" ht="15" customHeight="1" x14ac:dyDescent="0.3">
      <c r="E2601" s="124" t="str">
        <f>IFERROR(VLOOKUP(C2601,'Base de donnée articles'!$B$8:$C$331,2,FALSE)," ")</f>
        <v xml:space="preserve"> </v>
      </c>
    </row>
    <row r="2602" spans="5:5" ht="15" customHeight="1" x14ac:dyDescent="0.3">
      <c r="E2602" s="124" t="str">
        <f>IFERROR(VLOOKUP(C2602,'Base de donnée articles'!$B$8:$C$331,2,FALSE)," ")</f>
        <v xml:space="preserve"> </v>
      </c>
    </row>
    <row r="2603" spans="5:5" ht="15" customHeight="1" x14ac:dyDescent="0.3">
      <c r="E2603" s="124" t="str">
        <f>IFERROR(VLOOKUP(C2603,'Base de donnée articles'!$B$8:$C$331,2,FALSE)," ")</f>
        <v xml:space="preserve"> </v>
      </c>
    </row>
    <row r="2604" spans="5:5" ht="15" customHeight="1" x14ac:dyDescent="0.3">
      <c r="E2604" s="124" t="str">
        <f>IFERROR(VLOOKUP(C2604,'Base de donnée articles'!$B$8:$C$331,2,FALSE)," ")</f>
        <v xml:space="preserve"> </v>
      </c>
    </row>
    <row r="2605" spans="5:5" ht="15" customHeight="1" x14ac:dyDescent="0.3">
      <c r="E2605" s="124" t="str">
        <f>IFERROR(VLOOKUP(C2605,'Base de donnée articles'!$B$8:$C$331,2,FALSE)," ")</f>
        <v xml:space="preserve"> </v>
      </c>
    </row>
    <row r="2606" spans="5:5" ht="15" customHeight="1" x14ac:dyDescent="0.3">
      <c r="E2606" s="124" t="str">
        <f>IFERROR(VLOOKUP(C2606,'Base de donnée articles'!$B$8:$C$331,2,FALSE)," ")</f>
        <v xml:space="preserve"> </v>
      </c>
    </row>
    <row r="2607" spans="5:5" ht="15" customHeight="1" x14ac:dyDescent="0.3">
      <c r="E2607" s="124" t="str">
        <f>IFERROR(VLOOKUP(C2607,'Base de donnée articles'!$B$8:$C$331,2,FALSE)," ")</f>
        <v xml:space="preserve"> </v>
      </c>
    </row>
    <row r="2608" spans="5:5" ht="15" customHeight="1" x14ac:dyDescent="0.3">
      <c r="E2608" s="124" t="str">
        <f>IFERROR(VLOOKUP(C2608,'Base de donnée articles'!$B$8:$C$331,2,FALSE)," ")</f>
        <v xml:space="preserve"> </v>
      </c>
    </row>
    <row r="2609" spans="5:5" ht="15" customHeight="1" x14ac:dyDescent="0.3">
      <c r="E2609" s="124" t="str">
        <f>IFERROR(VLOOKUP(C2609,'Base de donnée articles'!$B$8:$C$331,2,FALSE)," ")</f>
        <v xml:space="preserve"> </v>
      </c>
    </row>
    <row r="2610" spans="5:5" ht="15" customHeight="1" x14ac:dyDescent="0.3">
      <c r="E2610" s="124" t="str">
        <f>IFERROR(VLOOKUP(C2610,'Base de donnée articles'!$B$8:$C$331,2,FALSE)," ")</f>
        <v xml:space="preserve"> </v>
      </c>
    </row>
    <row r="2611" spans="5:5" ht="15" customHeight="1" x14ac:dyDescent="0.3">
      <c r="E2611" s="124" t="str">
        <f>IFERROR(VLOOKUP(C2611,'Base de donnée articles'!$B$8:$C$331,2,FALSE)," ")</f>
        <v xml:space="preserve"> </v>
      </c>
    </row>
    <row r="2612" spans="5:5" ht="15" customHeight="1" x14ac:dyDescent="0.3">
      <c r="E2612" s="124" t="str">
        <f>IFERROR(VLOOKUP(C2612,'Base de donnée articles'!$B$8:$C$331,2,FALSE)," ")</f>
        <v xml:space="preserve"> </v>
      </c>
    </row>
    <row r="2613" spans="5:5" ht="15" customHeight="1" x14ac:dyDescent="0.3">
      <c r="E2613" s="124" t="str">
        <f>IFERROR(VLOOKUP(C2613,'Base de donnée articles'!$B$8:$C$331,2,FALSE)," ")</f>
        <v xml:space="preserve"> </v>
      </c>
    </row>
    <row r="2614" spans="5:5" ht="15" customHeight="1" x14ac:dyDescent="0.3">
      <c r="E2614" s="124" t="str">
        <f>IFERROR(VLOOKUP(C2614,'Base de donnée articles'!$B$8:$C$331,2,FALSE)," ")</f>
        <v xml:space="preserve"> </v>
      </c>
    </row>
    <row r="2615" spans="5:5" ht="15" customHeight="1" x14ac:dyDescent="0.3">
      <c r="E2615" s="124" t="str">
        <f>IFERROR(VLOOKUP(C2615,'Base de donnée articles'!$B$8:$C$331,2,FALSE)," ")</f>
        <v xml:space="preserve"> </v>
      </c>
    </row>
    <row r="2616" spans="5:5" ht="15" customHeight="1" x14ac:dyDescent="0.3">
      <c r="E2616" s="124" t="str">
        <f>IFERROR(VLOOKUP(C2616,'Base de donnée articles'!$B$8:$C$331,2,FALSE)," ")</f>
        <v xml:space="preserve"> </v>
      </c>
    </row>
    <row r="2617" spans="5:5" ht="15" customHeight="1" x14ac:dyDescent="0.3">
      <c r="E2617" s="124" t="str">
        <f>IFERROR(VLOOKUP(C2617,'Base de donnée articles'!$B$8:$C$331,2,FALSE)," ")</f>
        <v xml:space="preserve"> </v>
      </c>
    </row>
    <row r="2618" spans="5:5" ht="15" customHeight="1" x14ac:dyDescent="0.3">
      <c r="E2618" s="124" t="str">
        <f>IFERROR(VLOOKUP(C2618,'Base de donnée articles'!$B$8:$C$331,2,FALSE)," ")</f>
        <v xml:space="preserve"> </v>
      </c>
    </row>
    <row r="2619" spans="5:5" ht="15" customHeight="1" x14ac:dyDescent="0.3">
      <c r="E2619" s="124" t="str">
        <f>IFERROR(VLOOKUP(C2619,'Base de donnée articles'!$B$8:$C$331,2,FALSE)," ")</f>
        <v xml:space="preserve"> </v>
      </c>
    </row>
    <row r="2620" spans="5:5" ht="15" customHeight="1" x14ac:dyDescent="0.3">
      <c r="E2620" s="124" t="str">
        <f>IFERROR(VLOOKUP(C2620,'Base de donnée articles'!$B$8:$C$331,2,FALSE)," ")</f>
        <v xml:space="preserve"> </v>
      </c>
    </row>
    <row r="2621" spans="5:5" ht="15" customHeight="1" x14ac:dyDescent="0.3">
      <c r="E2621" s="124" t="str">
        <f>IFERROR(VLOOKUP(C2621,'Base de donnée articles'!$B$8:$C$331,2,FALSE)," ")</f>
        <v xml:space="preserve"> </v>
      </c>
    </row>
    <row r="2622" spans="5:5" ht="15" customHeight="1" x14ac:dyDescent="0.3">
      <c r="E2622" s="124" t="str">
        <f>IFERROR(VLOOKUP(C2622,'Base de donnée articles'!$B$8:$C$331,2,FALSE)," ")</f>
        <v xml:space="preserve"> </v>
      </c>
    </row>
    <row r="2623" spans="5:5" ht="15" customHeight="1" x14ac:dyDescent="0.3">
      <c r="E2623" s="124" t="str">
        <f>IFERROR(VLOOKUP(C2623,'Base de donnée articles'!$B$8:$C$331,2,FALSE)," ")</f>
        <v xml:space="preserve"> </v>
      </c>
    </row>
    <row r="2624" spans="5:5" ht="15" customHeight="1" x14ac:dyDescent="0.3">
      <c r="E2624" s="124" t="str">
        <f>IFERROR(VLOOKUP(C2624,'Base de donnée articles'!$B$8:$C$331,2,FALSE)," ")</f>
        <v xml:space="preserve"> </v>
      </c>
    </row>
    <row r="2625" spans="5:5" ht="15" customHeight="1" x14ac:dyDescent="0.3">
      <c r="E2625" s="124" t="str">
        <f>IFERROR(VLOOKUP(C2625,'Base de donnée articles'!$B$8:$C$331,2,FALSE)," ")</f>
        <v xml:space="preserve"> </v>
      </c>
    </row>
    <row r="2626" spans="5:5" ht="15" customHeight="1" x14ac:dyDescent="0.3">
      <c r="E2626" s="124" t="str">
        <f>IFERROR(VLOOKUP(C2626,'Base de donnée articles'!$B$8:$C$331,2,FALSE)," ")</f>
        <v xml:space="preserve"> </v>
      </c>
    </row>
    <row r="2627" spans="5:5" ht="15" customHeight="1" x14ac:dyDescent="0.3">
      <c r="E2627" s="124" t="str">
        <f>IFERROR(VLOOKUP(C2627,'Base de donnée articles'!$B$8:$C$331,2,FALSE)," ")</f>
        <v xml:space="preserve"> </v>
      </c>
    </row>
    <row r="2628" spans="5:5" ht="15" customHeight="1" x14ac:dyDescent="0.3">
      <c r="E2628" s="124" t="str">
        <f>IFERROR(VLOOKUP(C2628,'Base de donnée articles'!$B$8:$C$331,2,FALSE)," ")</f>
        <v xml:space="preserve"> </v>
      </c>
    </row>
    <row r="2629" spans="5:5" ht="15" customHeight="1" x14ac:dyDescent="0.3">
      <c r="E2629" s="124" t="str">
        <f>IFERROR(VLOOKUP(C2629,'Base de donnée articles'!$B$8:$C$331,2,FALSE)," ")</f>
        <v xml:space="preserve"> </v>
      </c>
    </row>
    <row r="2630" spans="5:5" ht="15" customHeight="1" x14ac:dyDescent="0.3">
      <c r="E2630" s="124" t="str">
        <f>IFERROR(VLOOKUP(C2630,'Base de donnée articles'!$B$8:$C$331,2,FALSE)," ")</f>
        <v xml:space="preserve"> </v>
      </c>
    </row>
    <row r="2631" spans="5:5" ht="15" customHeight="1" x14ac:dyDescent="0.3">
      <c r="E2631" s="124" t="str">
        <f>IFERROR(VLOOKUP(C2631,'Base de donnée articles'!$B$8:$C$331,2,FALSE)," ")</f>
        <v xml:space="preserve"> </v>
      </c>
    </row>
    <row r="2632" spans="5:5" ht="15" customHeight="1" x14ac:dyDescent="0.3">
      <c r="E2632" s="124" t="str">
        <f>IFERROR(VLOOKUP(C2632,'Base de donnée articles'!$B$8:$C$331,2,FALSE)," ")</f>
        <v xml:space="preserve"> </v>
      </c>
    </row>
    <row r="2633" spans="5:5" ht="15" customHeight="1" x14ac:dyDescent="0.3">
      <c r="E2633" s="124" t="str">
        <f>IFERROR(VLOOKUP(C2633,'Base de donnée articles'!$B$8:$C$331,2,FALSE)," ")</f>
        <v xml:space="preserve"> </v>
      </c>
    </row>
    <row r="2634" spans="5:5" ht="15" customHeight="1" x14ac:dyDescent="0.3">
      <c r="E2634" s="124" t="str">
        <f>IFERROR(VLOOKUP(C2634,'Base de donnée articles'!$B$8:$C$331,2,FALSE)," ")</f>
        <v xml:space="preserve"> </v>
      </c>
    </row>
    <row r="2635" spans="5:5" ht="15" customHeight="1" x14ac:dyDescent="0.3">
      <c r="E2635" s="124" t="str">
        <f>IFERROR(VLOOKUP(C2635,'Base de donnée articles'!$B$8:$C$331,2,FALSE)," ")</f>
        <v xml:space="preserve"> </v>
      </c>
    </row>
    <row r="2636" spans="5:5" ht="15" customHeight="1" x14ac:dyDescent="0.3">
      <c r="E2636" s="124" t="str">
        <f>IFERROR(VLOOKUP(C2636,'Base de donnée articles'!$B$8:$C$331,2,FALSE)," ")</f>
        <v xml:space="preserve"> </v>
      </c>
    </row>
    <row r="2637" spans="5:5" ht="15" customHeight="1" x14ac:dyDescent="0.3">
      <c r="E2637" s="124" t="str">
        <f>IFERROR(VLOOKUP(C2637,'Base de donnée articles'!$B$8:$C$331,2,FALSE)," ")</f>
        <v xml:space="preserve"> </v>
      </c>
    </row>
    <row r="2638" spans="5:5" ht="15" customHeight="1" x14ac:dyDescent="0.3">
      <c r="E2638" s="124" t="str">
        <f>IFERROR(VLOOKUP(C2638,'Base de donnée articles'!$B$8:$C$331,2,FALSE)," ")</f>
        <v xml:space="preserve"> </v>
      </c>
    </row>
    <row r="2639" spans="5:5" ht="15" customHeight="1" x14ac:dyDescent="0.3">
      <c r="E2639" s="124" t="str">
        <f>IFERROR(VLOOKUP(C2639,'Base de donnée articles'!$B$8:$C$331,2,FALSE)," ")</f>
        <v xml:space="preserve"> </v>
      </c>
    </row>
    <row r="2640" spans="5:5" ht="15" customHeight="1" x14ac:dyDescent="0.3">
      <c r="E2640" s="124" t="str">
        <f>IFERROR(VLOOKUP(C2640,'Base de donnée articles'!$B$8:$C$331,2,FALSE)," ")</f>
        <v xml:space="preserve"> </v>
      </c>
    </row>
    <row r="2641" spans="5:5" ht="15" customHeight="1" x14ac:dyDescent="0.3">
      <c r="E2641" s="124" t="str">
        <f>IFERROR(VLOOKUP(C2641,'Base de donnée articles'!$B$8:$C$331,2,FALSE)," ")</f>
        <v xml:space="preserve"> </v>
      </c>
    </row>
    <row r="2642" spans="5:5" ht="15" customHeight="1" x14ac:dyDescent="0.3">
      <c r="E2642" s="124" t="str">
        <f>IFERROR(VLOOKUP(C2642,'Base de donnée articles'!$B$8:$C$331,2,FALSE)," ")</f>
        <v xml:space="preserve"> </v>
      </c>
    </row>
    <row r="2643" spans="5:5" ht="15" customHeight="1" x14ac:dyDescent="0.3">
      <c r="E2643" s="124" t="str">
        <f>IFERROR(VLOOKUP(C2643,'Base de donnée articles'!$B$8:$C$331,2,FALSE)," ")</f>
        <v xml:space="preserve"> </v>
      </c>
    </row>
    <row r="2644" spans="5:5" ht="15" customHeight="1" x14ac:dyDescent="0.3">
      <c r="E2644" s="124" t="str">
        <f>IFERROR(VLOOKUP(C2644,'Base de donnée articles'!$B$8:$C$331,2,FALSE)," ")</f>
        <v xml:space="preserve"> </v>
      </c>
    </row>
    <row r="2645" spans="5:5" ht="15" customHeight="1" x14ac:dyDescent="0.3">
      <c r="E2645" s="124" t="str">
        <f>IFERROR(VLOOKUP(C2645,'Base de donnée articles'!$B$8:$C$331,2,FALSE)," ")</f>
        <v xml:space="preserve"> </v>
      </c>
    </row>
    <row r="2646" spans="5:5" ht="15" customHeight="1" x14ac:dyDescent="0.3">
      <c r="E2646" s="124" t="str">
        <f>IFERROR(VLOOKUP(C2646,'Base de donnée articles'!$B$8:$C$331,2,FALSE)," ")</f>
        <v xml:space="preserve"> </v>
      </c>
    </row>
    <row r="2647" spans="5:5" ht="15" customHeight="1" x14ac:dyDescent="0.3">
      <c r="E2647" s="124" t="str">
        <f>IFERROR(VLOOKUP(C2647,'Base de donnée articles'!$B$8:$C$331,2,FALSE)," ")</f>
        <v xml:space="preserve"> </v>
      </c>
    </row>
    <row r="2648" spans="5:5" ht="15" customHeight="1" x14ac:dyDescent="0.3">
      <c r="E2648" s="124" t="str">
        <f>IFERROR(VLOOKUP(C2648,'Base de donnée articles'!$B$8:$C$331,2,FALSE)," ")</f>
        <v xml:space="preserve"> </v>
      </c>
    </row>
    <row r="2649" spans="5:5" ht="15" customHeight="1" x14ac:dyDescent="0.3">
      <c r="E2649" s="124" t="str">
        <f>IFERROR(VLOOKUP(C2649,'Base de donnée articles'!$B$8:$C$331,2,FALSE)," ")</f>
        <v xml:space="preserve"> </v>
      </c>
    </row>
    <row r="2650" spans="5:5" ht="15" customHeight="1" x14ac:dyDescent="0.3">
      <c r="E2650" s="124" t="str">
        <f>IFERROR(VLOOKUP(C2650,'Base de donnée articles'!$B$8:$C$331,2,FALSE)," ")</f>
        <v xml:space="preserve"> </v>
      </c>
    </row>
    <row r="2651" spans="5:5" ht="15" customHeight="1" x14ac:dyDescent="0.3">
      <c r="E2651" s="124" t="str">
        <f>IFERROR(VLOOKUP(C2651,'Base de donnée articles'!$B$8:$C$331,2,FALSE)," ")</f>
        <v xml:space="preserve"> </v>
      </c>
    </row>
    <row r="2652" spans="5:5" ht="15" customHeight="1" x14ac:dyDescent="0.3">
      <c r="E2652" s="124" t="str">
        <f>IFERROR(VLOOKUP(C2652,'Base de donnée articles'!$B$8:$C$331,2,FALSE)," ")</f>
        <v xml:space="preserve"> </v>
      </c>
    </row>
    <row r="2653" spans="5:5" ht="15" customHeight="1" x14ac:dyDescent="0.3">
      <c r="E2653" s="124" t="str">
        <f>IFERROR(VLOOKUP(C2653,'Base de donnée articles'!$B$8:$C$331,2,FALSE)," ")</f>
        <v xml:space="preserve"> </v>
      </c>
    </row>
    <row r="2654" spans="5:5" ht="15" customHeight="1" x14ac:dyDescent="0.3">
      <c r="E2654" s="124" t="str">
        <f>IFERROR(VLOOKUP(C2654,'Base de donnée articles'!$B$8:$C$331,2,FALSE)," ")</f>
        <v xml:space="preserve"> </v>
      </c>
    </row>
    <row r="2655" spans="5:5" ht="15" customHeight="1" x14ac:dyDescent="0.3">
      <c r="E2655" s="124" t="str">
        <f>IFERROR(VLOOKUP(C2655,'Base de donnée articles'!$B$8:$C$331,2,FALSE)," ")</f>
        <v xml:space="preserve"> </v>
      </c>
    </row>
    <row r="2656" spans="5:5" ht="15" customHeight="1" x14ac:dyDescent="0.3">
      <c r="E2656" s="124" t="str">
        <f>IFERROR(VLOOKUP(C2656,'Base de donnée articles'!$B$8:$C$331,2,FALSE)," ")</f>
        <v xml:space="preserve"> </v>
      </c>
    </row>
    <row r="2657" spans="5:5" ht="15" customHeight="1" x14ac:dyDescent="0.3">
      <c r="E2657" s="124" t="str">
        <f>IFERROR(VLOOKUP(C2657,'Base de donnée articles'!$B$8:$C$331,2,FALSE)," ")</f>
        <v xml:space="preserve"> </v>
      </c>
    </row>
    <row r="2658" spans="5:5" ht="15" customHeight="1" x14ac:dyDescent="0.3">
      <c r="E2658" s="124" t="str">
        <f>IFERROR(VLOOKUP(C2658,'Base de donnée articles'!$B$8:$C$331,2,FALSE)," ")</f>
        <v xml:space="preserve"> </v>
      </c>
    </row>
    <row r="2659" spans="5:5" ht="15" customHeight="1" x14ac:dyDescent="0.3">
      <c r="E2659" s="124" t="str">
        <f>IFERROR(VLOOKUP(C2659,'Base de donnée articles'!$B$8:$C$331,2,FALSE)," ")</f>
        <v xml:space="preserve"> </v>
      </c>
    </row>
    <row r="2660" spans="5:5" ht="15" customHeight="1" x14ac:dyDescent="0.3">
      <c r="E2660" s="124" t="str">
        <f>IFERROR(VLOOKUP(C2660,'Base de donnée articles'!$B$8:$C$331,2,FALSE)," ")</f>
        <v xml:space="preserve"> </v>
      </c>
    </row>
    <row r="2661" spans="5:5" ht="15" customHeight="1" x14ac:dyDescent="0.3">
      <c r="E2661" s="124" t="str">
        <f>IFERROR(VLOOKUP(C2661,'Base de donnée articles'!$B$8:$C$331,2,FALSE)," ")</f>
        <v xml:space="preserve"> </v>
      </c>
    </row>
    <row r="2662" spans="5:5" ht="15" customHeight="1" x14ac:dyDescent="0.3">
      <c r="E2662" s="124" t="str">
        <f>IFERROR(VLOOKUP(C2662,'Base de donnée articles'!$B$8:$C$331,2,FALSE)," ")</f>
        <v xml:space="preserve"> </v>
      </c>
    </row>
    <row r="2663" spans="5:5" ht="15" customHeight="1" x14ac:dyDescent="0.3">
      <c r="E2663" s="124" t="str">
        <f>IFERROR(VLOOKUP(C2663,'Base de donnée articles'!$B$8:$C$331,2,FALSE)," ")</f>
        <v xml:space="preserve"> </v>
      </c>
    </row>
    <row r="2664" spans="5:5" ht="15" customHeight="1" x14ac:dyDescent="0.3">
      <c r="E2664" s="124" t="str">
        <f>IFERROR(VLOOKUP(C2664,'Base de donnée articles'!$B$8:$C$331,2,FALSE)," ")</f>
        <v xml:space="preserve"> </v>
      </c>
    </row>
    <row r="2665" spans="5:5" ht="15" customHeight="1" x14ac:dyDescent="0.3">
      <c r="E2665" s="124" t="str">
        <f>IFERROR(VLOOKUP(C2665,'Base de donnée articles'!$B$8:$C$331,2,FALSE)," ")</f>
        <v xml:space="preserve"> </v>
      </c>
    </row>
    <row r="2666" spans="5:5" ht="15" customHeight="1" x14ac:dyDescent="0.3">
      <c r="E2666" s="124" t="str">
        <f>IFERROR(VLOOKUP(C2666,'Base de donnée articles'!$B$8:$C$331,2,FALSE)," ")</f>
        <v xml:space="preserve"> </v>
      </c>
    </row>
    <row r="2667" spans="5:5" ht="15" customHeight="1" x14ac:dyDescent="0.3">
      <c r="E2667" s="124" t="str">
        <f>IFERROR(VLOOKUP(C2667,'Base de donnée articles'!$B$8:$C$331,2,FALSE)," ")</f>
        <v xml:space="preserve"> </v>
      </c>
    </row>
    <row r="2668" spans="5:5" ht="15" customHeight="1" x14ac:dyDescent="0.3">
      <c r="E2668" s="124" t="str">
        <f>IFERROR(VLOOKUP(C2668,'Base de donnée articles'!$B$8:$C$331,2,FALSE)," ")</f>
        <v xml:space="preserve"> </v>
      </c>
    </row>
    <row r="2669" spans="5:5" ht="15" customHeight="1" x14ac:dyDescent="0.3">
      <c r="E2669" s="124" t="str">
        <f>IFERROR(VLOOKUP(C2669,'Base de donnée articles'!$B$8:$C$331,2,FALSE)," ")</f>
        <v xml:space="preserve"> </v>
      </c>
    </row>
    <row r="2670" spans="5:5" ht="15" customHeight="1" x14ac:dyDescent="0.3">
      <c r="E2670" s="124" t="str">
        <f>IFERROR(VLOOKUP(C2670,'Base de donnée articles'!$B$8:$C$331,2,FALSE)," ")</f>
        <v xml:space="preserve"> </v>
      </c>
    </row>
    <row r="2671" spans="5:5" ht="15" customHeight="1" x14ac:dyDescent="0.3">
      <c r="E2671" s="124" t="str">
        <f>IFERROR(VLOOKUP(C2671,'Base de donnée articles'!$B$8:$C$331,2,FALSE)," ")</f>
        <v xml:space="preserve"> </v>
      </c>
    </row>
    <row r="2672" spans="5:5" ht="15" customHeight="1" x14ac:dyDescent="0.3">
      <c r="E2672" s="124" t="str">
        <f>IFERROR(VLOOKUP(C2672,'Base de donnée articles'!$B$8:$C$331,2,FALSE)," ")</f>
        <v xml:space="preserve"> </v>
      </c>
    </row>
    <row r="2673" spans="5:5" ht="15" customHeight="1" x14ac:dyDescent="0.3">
      <c r="E2673" s="124" t="str">
        <f>IFERROR(VLOOKUP(C2673,'Base de donnée articles'!$B$8:$C$331,2,FALSE)," ")</f>
        <v xml:space="preserve"> </v>
      </c>
    </row>
    <row r="2674" spans="5:5" ht="15" customHeight="1" x14ac:dyDescent="0.3">
      <c r="E2674" s="124" t="str">
        <f>IFERROR(VLOOKUP(C2674,'Base de donnée articles'!$B$8:$C$331,2,FALSE)," ")</f>
        <v xml:space="preserve"> </v>
      </c>
    </row>
    <row r="2675" spans="5:5" ht="15" customHeight="1" x14ac:dyDescent="0.3">
      <c r="E2675" s="124" t="str">
        <f>IFERROR(VLOOKUP(C2675,'Base de donnée articles'!$B$8:$C$331,2,FALSE)," ")</f>
        <v xml:space="preserve"> </v>
      </c>
    </row>
    <row r="2676" spans="5:5" ht="15" customHeight="1" x14ac:dyDescent="0.3">
      <c r="E2676" s="124" t="str">
        <f>IFERROR(VLOOKUP(C2676,'Base de donnée articles'!$B$8:$C$331,2,FALSE)," ")</f>
        <v xml:space="preserve"> </v>
      </c>
    </row>
    <row r="2677" spans="5:5" ht="15" customHeight="1" x14ac:dyDescent="0.3">
      <c r="E2677" s="124" t="str">
        <f>IFERROR(VLOOKUP(C2677,'Base de donnée articles'!$B$8:$C$331,2,FALSE)," ")</f>
        <v xml:space="preserve"> </v>
      </c>
    </row>
    <row r="2678" spans="5:5" ht="15" customHeight="1" x14ac:dyDescent="0.3">
      <c r="E2678" s="124" t="str">
        <f>IFERROR(VLOOKUP(C2678,'Base de donnée articles'!$B$8:$C$331,2,FALSE)," ")</f>
        <v xml:space="preserve"> </v>
      </c>
    </row>
    <row r="2679" spans="5:5" ht="15" customHeight="1" x14ac:dyDescent="0.3">
      <c r="E2679" s="124" t="str">
        <f>IFERROR(VLOOKUP(C2679,'Base de donnée articles'!$B$8:$C$331,2,FALSE)," ")</f>
        <v xml:space="preserve"> </v>
      </c>
    </row>
    <row r="2680" spans="5:5" ht="15" customHeight="1" x14ac:dyDescent="0.3">
      <c r="E2680" s="124" t="str">
        <f>IFERROR(VLOOKUP(C2680,'Base de donnée articles'!$B$8:$C$331,2,FALSE)," ")</f>
        <v xml:space="preserve"> </v>
      </c>
    </row>
    <row r="2681" spans="5:5" ht="15" customHeight="1" x14ac:dyDescent="0.3">
      <c r="E2681" s="124" t="str">
        <f>IFERROR(VLOOKUP(C2681,'Base de donnée articles'!$B$8:$C$331,2,FALSE)," ")</f>
        <v xml:space="preserve"> </v>
      </c>
    </row>
    <row r="2682" spans="5:5" ht="15" customHeight="1" x14ac:dyDescent="0.3">
      <c r="E2682" s="124" t="str">
        <f>IFERROR(VLOOKUP(C2682,'Base de donnée articles'!$B$8:$C$331,2,FALSE)," ")</f>
        <v xml:space="preserve"> </v>
      </c>
    </row>
    <row r="2683" spans="5:5" ht="15" customHeight="1" x14ac:dyDescent="0.3">
      <c r="E2683" s="124" t="str">
        <f>IFERROR(VLOOKUP(C2683,'Base de donnée articles'!$B$8:$C$331,2,FALSE)," ")</f>
        <v xml:space="preserve"> </v>
      </c>
    </row>
    <row r="2684" spans="5:5" ht="15" customHeight="1" x14ac:dyDescent="0.3">
      <c r="E2684" s="124" t="str">
        <f>IFERROR(VLOOKUP(C2684,'Base de donnée articles'!$B$8:$C$331,2,FALSE)," ")</f>
        <v xml:space="preserve"> </v>
      </c>
    </row>
    <row r="2685" spans="5:5" ht="15" customHeight="1" x14ac:dyDescent="0.3">
      <c r="E2685" s="124" t="str">
        <f>IFERROR(VLOOKUP(C2685,'Base de donnée articles'!$B$8:$C$331,2,FALSE)," ")</f>
        <v xml:space="preserve"> </v>
      </c>
    </row>
    <row r="2686" spans="5:5" ht="15" customHeight="1" x14ac:dyDescent="0.3">
      <c r="E2686" s="124" t="str">
        <f>IFERROR(VLOOKUP(C2686,'Base de donnée articles'!$B$8:$C$331,2,FALSE)," ")</f>
        <v xml:space="preserve"> </v>
      </c>
    </row>
    <row r="2687" spans="5:5" ht="15" customHeight="1" x14ac:dyDescent="0.3">
      <c r="E2687" s="124" t="str">
        <f>IFERROR(VLOOKUP(C2687,'Base de donnée articles'!$B$8:$C$331,2,FALSE)," ")</f>
        <v xml:space="preserve"> </v>
      </c>
    </row>
    <row r="2688" spans="5:5" ht="15" customHeight="1" x14ac:dyDescent="0.3">
      <c r="E2688" s="124" t="str">
        <f>IFERROR(VLOOKUP(C2688,'Base de donnée articles'!$B$8:$C$331,2,FALSE)," ")</f>
        <v xml:space="preserve"> </v>
      </c>
    </row>
    <row r="2689" spans="5:5" ht="15" customHeight="1" x14ac:dyDescent="0.3">
      <c r="E2689" s="124" t="str">
        <f>IFERROR(VLOOKUP(C2689,'Base de donnée articles'!$B$8:$C$331,2,FALSE)," ")</f>
        <v xml:space="preserve"> </v>
      </c>
    </row>
    <row r="2690" spans="5:5" ht="15" customHeight="1" x14ac:dyDescent="0.3">
      <c r="E2690" s="124" t="str">
        <f>IFERROR(VLOOKUP(C2690,'Base de donnée articles'!$B$8:$C$331,2,FALSE)," ")</f>
        <v xml:space="preserve"> </v>
      </c>
    </row>
    <row r="2691" spans="5:5" ht="15" customHeight="1" x14ac:dyDescent="0.3">
      <c r="E2691" s="124" t="str">
        <f>IFERROR(VLOOKUP(C2691,'Base de donnée articles'!$B$8:$C$331,2,FALSE)," ")</f>
        <v xml:space="preserve"> </v>
      </c>
    </row>
    <row r="2692" spans="5:5" ht="15" customHeight="1" x14ac:dyDescent="0.3">
      <c r="E2692" s="124" t="str">
        <f>IFERROR(VLOOKUP(C2692,'Base de donnée articles'!$B$8:$C$331,2,FALSE)," ")</f>
        <v xml:space="preserve"> </v>
      </c>
    </row>
    <row r="2693" spans="5:5" ht="15" customHeight="1" x14ac:dyDescent="0.3">
      <c r="E2693" s="124" t="str">
        <f>IFERROR(VLOOKUP(C2693,'Base de donnée articles'!$B$8:$C$331,2,FALSE)," ")</f>
        <v xml:space="preserve"> </v>
      </c>
    </row>
    <row r="2694" spans="5:5" ht="15" customHeight="1" x14ac:dyDescent="0.3">
      <c r="E2694" s="124" t="str">
        <f>IFERROR(VLOOKUP(C2694,'Base de donnée articles'!$B$8:$C$331,2,FALSE)," ")</f>
        <v xml:space="preserve"> </v>
      </c>
    </row>
    <row r="2695" spans="5:5" ht="15" customHeight="1" x14ac:dyDescent="0.3">
      <c r="E2695" s="124" t="str">
        <f>IFERROR(VLOOKUP(C2695,'Base de donnée articles'!$B$8:$C$331,2,FALSE)," ")</f>
        <v xml:space="preserve"> </v>
      </c>
    </row>
    <row r="2696" spans="5:5" ht="15" customHeight="1" x14ac:dyDescent="0.3">
      <c r="E2696" s="124" t="str">
        <f>IFERROR(VLOOKUP(C2696,'Base de donnée articles'!$B$8:$C$331,2,FALSE)," ")</f>
        <v xml:space="preserve"> </v>
      </c>
    </row>
    <row r="2697" spans="5:5" ht="15" customHeight="1" x14ac:dyDescent="0.3">
      <c r="E2697" s="124" t="str">
        <f>IFERROR(VLOOKUP(C2697,'Base de donnée articles'!$B$8:$C$331,2,FALSE)," ")</f>
        <v xml:space="preserve"> </v>
      </c>
    </row>
    <row r="2698" spans="5:5" ht="15" customHeight="1" x14ac:dyDescent="0.3">
      <c r="E2698" s="124" t="str">
        <f>IFERROR(VLOOKUP(C2698,'Base de donnée articles'!$B$8:$C$331,2,FALSE)," ")</f>
        <v xml:space="preserve"> </v>
      </c>
    </row>
    <row r="2699" spans="5:5" ht="15" customHeight="1" x14ac:dyDescent="0.3">
      <c r="E2699" s="124" t="str">
        <f>IFERROR(VLOOKUP(C2699,'Base de donnée articles'!$B$8:$C$331,2,FALSE)," ")</f>
        <v xml:space="preserve"> </v>
      </c>
    </row>
    <row r="2700" spans="5:5" ht="15" customHeight="1" x14ac:dyDescent="0.3">
      <c r="E2700" s="124" t="str">
        <f>IFERROR(VLOOKUP(C2700,'Base de donnée articles'!$B$8:$C$331,2,FALSE)," ")</f>
        <v xml:space="preserve"> </v>
      </c>
    </row>
    <row r="2701" spans="5:5" ht="15" customHeight="1" x14ac:dyDescent="0.3">
      <c r="E2701" s="124" t="str">
        <f>IFERROR(VLOOKUP(C2701,'Base de donnée articles'!$B$8:$C$331,2,FALSE)," ")</f>
        <v xml:space="preserve"> </v>
      </c>
    </row>
    <row r="2702" spans="5:5" ht="15" customHeight="1" x14ac:dyDescent="0.3">
      <c r="E2702" s="124" t="str">
        <f>IFERROR(VLOOKUP(C2702,'Base de donnée articles'!$B$8:$C$331,2,FALSE)," ")</f>
        <v xml:space="preserve"> </v>
      </c>
    </row>
    <row r="2703" spans="5:5" ht="15" customHeight="1" x14ac:dyDescent="0.3">
      <c r="E2703" s="124" t="str">
        <f>IFERROR(VLOOKUP(C2703,'Base de donnée articles'!$B$8:$C$331,2,FALSE)," ")</f>
        <v xml:space="preserve"> </v>
      </c>
    </row>
    <row r="2704" spans="5:5" ht="15" customHeight="1" x14ac:dyDescent="0.3">
      <c r="E2704" s="124" t="str">
        <f>IFERROR(VLOOKUP(C2704,'Base de donnée articles'!$B$8:$C$331,2,FALSE)," ")</f>
        <v xml:space="preserve"> </v>
      </c>
    </row>
    <row r="2705" spans="5:5" ht="15" customHeight="1" x14ac:dyDescent="0.3">
      <c r="E2705" s="124" t="str">
        <f>IFERROR(VLOOKUP(C2705,'Base de donnée articles'!$B$8:$C$331,2,FALSE)," ")</f>
        <v xml:space="preserve"> </v>
      </c>
    </row>
    <row r="2706" spans="5:5" ht="15" customHeight="1" x14ac:dyDescent="0.3">
      <c r="E2706" s="124" t="str">
        <f>IFERROR(VLOOKUP(C2706,'Base de donnée articles'!$B$8:$C$331,2,FALSE)," ")</f>
        <v xml:space="preserve"> </v>
      </c>
    </row>
    <row r="2707" spans="5:5" ht="15" customHeight="1" x14ac:dyDescent="0.3">
      <c r="E2707" s="124" t="str">
        <f>IFERROR(VLOOKUP(C2707,'Base de donnée articles'!$B$8:$C$331,2,FALSE)," ")</f>
        <v xml:space="preserve"> </v>
      </c>
    </row>
    <row r="2708" spans="5:5" ht="15" customHeight="1" x14ac:dyDescent="0.3">
      <c r="E2708" s="124" t="str">
        <f>IFERROR(VLOOKUP(C2708,'Base de donnée articles'!$B$8:$C$331,2,FALSE)," ")</f>
        <v xml:space="preserve"> </v>
      </c>
    </row>
    <row r="2709" spans="5:5" ht="15" customHeight="1" x14ac:dyDescent="0.3">
      <c r="E2709" s="124" t="str">
        <f>IFERROR(VLOOKUP(C2709,'Base de donnée articles'!$B$8:$C$331,2,FALSE)," ")</f>
        <v xml:space="preserve"> </v>
      </c>
    </row>
    <row r="2710" spans="5:5" ht="15" customHeight="1" x14ac:dyDescent="0.3">
      <c r="E2710" s="124" t="str">
        <f>IFERROR(VLOOKUP(C2710,'Base de donnée articles'!$B$8:$C$331,2,FALSE)," ")</f>
        <v xml:space="preserve"> </v>
      </c>
    </row>
    <row r="2711" spans="5:5" ht="15" customHeight="1" x14ac:dyDescent="0.3">
      <c r="E2711" s="124" t="str">
        <f>IFERROR(VLOOKUP(C2711,'Base de donnée articles'!$B$8:$C$331,2,FALSE)," ")</f>
        <v xml:space="preserve"> </v>
      </c>
    </row>
    <row r="2712" spans="5:5" ht="15" customHeight="1" x14ac:dyDescent="0.3">
      <c r="E2712" s="124" t="str">
        <f>IFERROR(VLOOKUP(C2712,'Base de donnée articles'!$B$8:$C$331,2,FALSE)," ")</f>
        <v xml:space="preserve"> </v>
      </c>
    </row>
    <row r="2713" spans="5:5" ht="15" customHeight="1" x14ac:dyDescent="0.3">
      <c r="E2713" s="124" t="str">
        <f>IFERROR(VLOOKUP(C2713,'Base de donnée articles'!$B$8:$C$331,2,FALSE)," ")</f>
        <v xml:space="preserve"> </v>
      </c>
    </row>
    <row r="2714" spans="5:5" ht="15" customHeight="1" x14ac:dyDescent="0.3">
      <c r="E2714" s="124" t="str">
        <f>IFERROR(VLOOKUP(C2714,'Base de donnée articles'!$B$8:$C$331,2,FALSE)," ")</f>
        <v xml:space="preserve"> </v>
      </c>
    </row>
    <row r="2715" spans="5:5" ht="15" customHeight="1" x14ac:dyDescent="0.3">
      <c r="E2715" s="124" t="str">
        <f>IFERROR(VLOOKUP(C2715,'Base de donnée articles'!$B$8:$C$331,2,FALSE)," ")</f>
        <v xml:space="preserve"> </v>
      </c>
    </row>
    <row r="2716" spans="5:5" ht="15" customHeight="1" x14ac:dyDescent="0.3">
      <c r="E2716" s="124" t="str">
        <f>IFERROR(VLOOKUP(C2716,'Base de donnée articles'!$B$8:$C$331,2,FALSE)," ")</f>
        <v xml:space="preserve"> </v>
      </c>
    </row>
    <row r="2717" spans="5:5" ht="15" customHeight="1" x14ac:dyDescent="0.3">
      <c r="E2717" s="124" t="str">
        <f>IFERROR(VLOOKUP(C2717,'Base de donnée articles'!$B$8:$C$331,2,FALSE)," ")</f>
        <v xml:space="preserve"> </v>
      </c>
    </row>
    <row r="2718" spans="5:5" ht="15" customHeight="1" x14ac:dyDescent="0.3">
      <c r="E2718" s="124" t="str">
        <f>IFERROR(VLOOKUP(C2718,'Base de donnée articles'!$B$8:$C$331,2,FALSE)," ")</f>
        <v xml:space="preserve"> </v>
      </c>
    </row>
    <row r="2719" spans="5:5" ht="15" customHeight="1" x14ac:dyDescent="0.3">
      <c r="E2719" s="124" t="str">
        <f>IFERROR(VLOOKUP(C2719,'Base de donnée articles'!$B$8:$C$331,2,FALSE)," ")</f>
        <v xml:space="preserve"> </v>
      </c>
    </row>
    <row r="2720" spans="5:5" ht="15" customHeight="1" x14ac:dyDescent="0.3">
      <c r="E2720" s="124" t="str">
        <f>IFERROR(VLOOKUP(C2720,'Base de donnée articles'!$B$8:$C$331,2,FALSE)," ")</f>
        <v xml:space="preserve"> </v>
      </c>
    </row>
    <row r="2721" spans="5:5" ht="15" customHeight="1" x14ac:dyDescent="0.3">
      <c r="E2721" s="124" t="str">
        <f>IFERROR(VLOOKUP(C2721,'Base de donnée articles'!$B$8:$C$331,2,FALSE)," ")</f>
        <v xml:space="preserve"> </v>
      </c>
    </row>
    <row r="2722" spans="5:5" ht="15" customHeight="1" x14ac:dyDescent="0.3">
      <c r="E2722" s="124" t="str">
        <f>IFERROR(VLOOKUP(C2722,'Base de donnée articles'!$B$8:$C$331,2,FALSE)," ")</f>
        <v xml:space="preserve"> </v>
      </c>
    </row>
    <row r="2723" spans="5:5" ht="15" customHeight="1" x14ac:dyDescent="0.3">
      <c r="E2723" s="124" t="str">
        <f>IFERROR(VLOOKUP(C2723,'Base de donnée articles'!$B$8:$C$331,2,FALSE)," ")</f>
        <v xml:space="preserve"> </v>
      </c>
    </row>
    <row r="2724" spans="5:5" ht="15" customHeight="1" x14ac:dyDescent="0.3">
      <c r="E2724" s="124" t="str">
        <f>IFERROR(VLOOKUP(C2724,'Base de donnée articles'!$B$8:$C$331,2,FALSE)," ")</f>
        <v xml:space="preserve"> </v>
      </c>
    </row>
    <row r="2725" spans="5:5" ht="15" customHeight="1" x14ac:dyDescent="0.3">
      <c r="E2725" s="124" t="str">
        <f>IFERROR(VLOOKUP(C2725,'Base de donnée articles'!$B$8:$C$331,2,FALSE)," ")</f>
        <v xml:space="preserve"> </v>
      </c>
    </row>
    <row r="2726" spans="5:5" ht="15" customHeight="1" x14ac:dyDescent="0.3">
      <c r="E2726" s="124" t="str">
        <f>IFERROR(VLOOKUP(C2726,'Base de donnée articles'!$B$8:$C$331,2,FALSE)," ")</f>
        <v xml:space="preserve"> </v>
      </c>
    </row>
    <row r="2727" spans="5:5" ht="15" customHeight="1" x14ac:dyDescent="0.3">
      <c r="E2727" s="124" t="str">
        <f>IFERROR(VLOOKUP(C2727,'Base de donnée articles'!$B$8:$C$331,2,FALSE)," ")</f>
        <v xml:space="preserve"> </v>
      </c>
    </row>
    <row r="2728" spans="5:5" ht="15" customHeight="1" x14ac:dyDescent="0.3">
      <c r="E2728" s="124" t="str">
        <f>IFERROR(VLOOKUP(C2728,'Base de donnée articles'!$B$8:$C$331,2,FALSE)," ")</f>
        <v xml:space="preserve"> </v>
      </c>
    </row>
    <row r="2729" spans="5:5" ht="15" customHeight="1" x14ac:dyDescent="0.3">
      <c r="E2729" s="124" t="str">
        <f>IFERROR(VLOOKUP(C2729,'Base de donnée articles'!$B$8:$C$331,2,FALSE)," ")</f>
        <v xml:space="preserve"> </v>
      </c>
    </row>
    <row r="2730" spans="5:5" ht="15" customHeight="1" x14ac:dyDescent="0.3">
      <c r="E2730" s="124" t="str">
        <f>IFERROR(VLOOKUP(C2730,'Base de donnée articles'!$B$8:$C$331,2,FALSE)," ")</f>
        <v xml:space="preserve"> </v>
      </c>
    </row>
    <row r="2731" spans="5:5" ht="15" customHeight="1" x14ac:dyDescent="0.3">
      <c r="E2731" s="124" t="str">
        <f>IFERROR(VLOOKUP(C2731,'Base de donnée articles'!$B$8:$C$331,2,FALSE)," ")</f>
        <v xml:space="preserve"> </v>
      </c>
    </row>
    <row r="2732" spans="5:5" ht="15" customHeight="1" x14ac:dyDescent="0.3">
      <c r="E2732" s="124" t="str">
        <f>IFERROR(VLOOKUP(C2732,'Base de donnée articles'!$B$8:$C$331,2,FALSE)," ")</f>
        <v xml:space="preserve"> </v>
      </c>
    </row>
    <row r="2733" spans="5:5" ht="15" customHeight="1" x14ac:dyDescent="0.3">
      <c r="E2733" s="124" t="str">
        <f>IFERROR(VLOOKUP(C2733,'Base de donnée articles'!$B$8:$C$331,2,FALSE)," ")</f>
        <v xml:space="preserve"> </v>
      </c>
    </row>
    <row r="2734" spans="5:5" ht="15" customHeight="1" x14ac:dyDescent="0.3">
      <c r="E2734" s="124" t="str">
        <f>IFERROR(VLOOKUP(C2734,'Base de donnée articles'!$B$8:$C$331,2,FALSE)," ")</f>
        <v xml:space="preserve"> </v>
      </c>
    </row>
    <row r="2735" spans="5:5" ht="15" customHeight="1" x14ac:dyDescent="0.3">
      <c r="E2735" s="124" t="str">
        <f>IFERROR(VLOOKUP(C2735,'Base de donnée articles'!$B$8:$C$331,2,FALSE)," ")</f>
        <v xml:space="preserve"> </v>
      </c>
    </row>
    <row r="2736" spans="5:5" ht="15" customHeight="1" x14ac:dyDescent="0.3">
      <c r="E2736" s="124" t="str">
        <f>IFERROR(VLOOKUP(C2736,'Base de donnée articles'!$B$8:$C$331,2,FALSE)," ")</f>
        <v xml:space="preserve"> </v>
      </c>
    </row>
    <row r="2737" spans="5:5" ht="15" customHeight="1" x14ac:dyDescent="0.3">
      <c r="E2737" s="124" t="str">
        <f>IFERROR(VLOOKUP(C2737,'Base de donnée articles'!$B$8:$C$331,2,FALSE)," ")</f>
        <v xml:space="preserve"> </v>
      </c>
    </row>
    <row r="2738" spans="5:5" ht="15" customHeight="1" x14ac:dyDescent="0.3">
      <c r="E2738" s="124" t="str">
        <f>IFERROR(VLOOKUP(C2738,'Base de donnée articles'!$B$8:$C$331,2,FALSE)," ")</f>
        <v xml:space="preserve"> </v>
      </c>
    </row>
    <row r="2739" spans="5:5" ht="15" customHeight="1" x14ac:dyDescent="0.3">
      <c r="E2739" s="124" t="str">
        <f>IFERROR(VLOOKUP(C2739,'Base de donnée articles'!$B$8:$C$331,2,FALSE)," ")</f>
        <v xml:space="preserve"> </v>
      </c>
    </row>
    <row r="2740" spans="5:5" ht="15" customHeight="1" x14ac:dyDescent="0.3">
      <c r="E2740" s="124" t="str">
        <f>IFERROR(VLOOKUP(C2740,'Base de donnée articles'!$B$8:$C$331,2,FALSE)," ")</f>
        <v xml:space="preserve"> </v>
      </c>
    </row>
    <row r="2741" spans="5:5" ht="15" customHeight="1" x14ac:dyDescent="0.3">
      <c r="E2741" s="124" t="str">
        <f>IFERROR(VLOOKUP(C2741,'Base de donnée articles'!$B$8:$C$331,2,FALSE)," ")</f>
        <v xml:space="preserve"> </v>
      </c>
    </row>
    <row r="2742" spans="5:5" ht="15" customHeight="1" x14ac:dyDescent="0.3">
      <c r="E2742" s="124" t="str">
        <f>IFERROR(VLOOKUP(C2742,'Base de donnée articles'!$B$8:$C$331,2,FALSE)," ")</f>
        <v xml:space="preserve"> </v>
      </c>
    </row>
    <row r="2743" spans="5:5" ht="15" customHeight="1" x14ac:dyDescent="0.3">
      <c r="E2743" s="124" t="str">
        <f>IFERROR(VLOOKUP(C2743,'Base de donnée articles'!$B$8:$C$331,2,FALSE)," ")</f>
        <v xml:space="preserve"> </v>
      </c>
    </row>
    <row r="2744" spans="5:5" ht="15" customHeight="1" x14ac:dyDescent="0.3">
      <c r="E2744" s="124" t="str">
        <f>IFERROR(VLOOKUP(C2744,'Base de donnée articles'!$B$8:$C$331,2,FALSE)," ")</f>
        <v xml:space="preserve"> </v>
      </c>
    </row>
    <row r="2745" spans="5:5" ht="15" customHeight="1" x14ac:dyDescent="0.3">
      <c r="E2745" s="124" t="str">
        <f>IFERROR(VLOOKUP(C2745,'Base de donnée articles'!$B$8:$C$331,2,FALSE)," ")</f>
        <v xml:space="preserve"> </v>
      </c>
    </row>
    <row r="2746" spans="5:5" ht="15" customHeight="1" x14ac:dyDescent="0.3">
      <c r="E2746" s="124" t="str">
        <f>IFERROR(VLOOKUP(C2746,'Base de donnée articles'!$B$8:$C$331,2,FALSE)," ")</f>
        <v xml:space="preserve"> </v>
      </c>
    </row>
    <row r="2747" spans="5:5" ht="15" customHeight="1" x14ac:dyDescent="0.3">
      <c r="E2747" s="124" t="str">
        <f>IFERROR(VLOOKUP(C2747,'Base de donnée articles'!$B$8:$C$331,2,FALSE)," ")</f>
        <v xml:space="preserve"> </v>
      </c>
    </row>
    <row r="2748" spans="5:5" ht="15" customHeight="1" x14ac:dyDescent="0.3">
      <c r="E2748" s="124" t="str">
        <f>IFERROR(VLOOKUP(C2748,'Base de donnée articles'!$B$8:$C$331,2,FALSE)," ")</f>
        <v xml:space="preserve"> </v>
      </c>
    </row>
    <row r="2749" spans="5:5" ht="15" customHeight="1" x14ac:dyDescent="0.3">
      <c r="E2749" s="124" t="str">
        <f>IFERROR(VLOOKUP(C2749,'Base de donnée articles'!$B$8:$C$331,2,FALSE)," ")</f>
        <v xml:space="preserve"> </v>
      </c>
    </row>
    <row r="2750" spans="5:5" ht="15" customHeight="1" x14ac:dyDescent="0.3">
      <c r="E2750" s="124" t="str">
        <f>IFERROR(VLOOKUP(C2750,'Base de donnée articles'!$B$8:$C$331,2,FALSE)," ")</f>
        <v xml:space="preserve"> </v>
      </c>
    </row>
    <row r="2751" spans="5:5" ht="15" customHeight="1" x14ac:dyDescent="0.3">
      <c r="E2751" s="124" t="str">
        <f>IFERROR(VLOOKUP(C2751,'Base de donnée articles'!$B$8:$C$331,2,FALSE)," ")</f>
        <v xml:space="preserve"> </v>
      </c>
    </row>
    <row r="2752" spans="5:5" ht="15" customHeight="1" x14ac:dyDescent="0.3">
      <c r="E2752" s="124" t="str">
        <f>IFERROR(VLOOKUP(C2752,'Base de donnée articles'!$B$8:$C$331,2,FALSE)," ")</f>
        <v xml:space="preserve"> </v>
      </c>
    </row>
    <row r="2753" spans="5:5" ht="15" customHeight="1" x14ac:dyDescent="0.3">
      <c r="E2753" s="124" t="str">
        <f>IFERROR(VLOOKUP(C2753,'Base de donnée articles'!$B$8:$C$331,2,FALSE)," ")</f>
        <v xml:space="preserve"> </v>
      </c>
    </row>
    <row r="2754" spans="5:5" ht="15" customHeight="1" x14ac:dyDescent="0.3">
      <c r="E2754" s="124" t="str">
        <f>IFERROR(VLOOKUP(C2754,'Base de donnée articles'!$B$8:$C$331,2,FALSE)," ")</f>
        <v xml:space="preserve"> </v>
      </c>
    </row>
    <row r="2755" spans="5:5" ht="15" customHeight="1" x14ac:dyDescent="0.3">
      <c r="E2755" s="124" t="str">
        <f>IFERROR(VLOOKUP(C2755,'Base de donnée articles'!$B$8:$C$331,2,FALSE)," ")</f>
        <v xml:space="preserve"> </v>
      </c>
    </row>
    <row r="2756" spans="5:5" ht="15" customHeight="1" x14ac:dyDescent="0.3">
      <c r="E2756" s="124" t="str">
        <f>IFERROR(VLOOKUP(C2756,'Base de donnée articles'!$B$8:$C$331,2,FALSE)," ")</f>
        <v xml:space="preserve"> </v>
      </c>
    </row>
    <row r="2757" spans="5:5" ht="15" customHeight="1" x14ac:dyDescent="0.3">
      <c r="E2757" s="124" t="str">
        <f>IFERROR(VLOOKUP(C2757,'Base de donnée articles'!$B$8:$C$331,2,FALSE)," ")</f>
        <v xml:space="preserve"> </v>
      </c>
    </row>
    <row r="2758" spans="5:5" ht="15" customHeight="1" x14ac:dyDescent="0.3">
      <c r="E2758" s="124" t="str">
        <f>IFERROR(VLOOKUP(C2758,'Base de donnée articles'!$B$8:$C$331,2,FALSE)," ")</f>
        <v xml:space="preserve"> </v>
      </c>
    </row>
    <row r="2759" spans="5:5" ht="15" customHeight="1" x14ac:dyDescent="0.3">
      <c r="E2759" s="124" t="str">
        <f>IFERROR(VLOOKUP(C2759,'Base de donnée articles'!$B$8:$C$331,2,FALSE)," ")</f>
        <v xml:space="preserve"> </v>
      </c>
    </row>
    <row r="2760" spans="5:5" ht="15" customHeight="1" x14ac:dyDescent="0.3">
      <c r="E2760" s="124" t="str">
        <f>IFERROR(VLOOKUP(C2760,'Base de donnée articles'!$B$8:$C$331,2,FALSE)," ")</f>
        <v xml:space="preserve"> </v>
      </c>
    </row>
    <row r="2761" spans="5:5" ht="15" customHeight="1" x14ac:dyDescent="0.3">
      <c r="E2761" s="124" t="str">
        <f>IFERROR(VLOOKUP(C2761,'Base de donnée articles'!$B$8:$C$331,2,FALSE)," ")</f>
        <v xml:space="preserve"> </v>
      </c>
    </row>
    <row r="2762" spans="5:5" ht="15" customHeight="1" x14ac:dyDescent="0.3">
      <c r="E2762" s="124" t="str">
        <f>IFERROR(VLOOKUP(C2762,'Base de donnée articles'!$B$8:$C$331,2,FALSE)," ")</f>
        <v xml:space="preserve"> </v>
      </c>
    </row>
    <row r="2763" spans="5:5" ht="15" customHeight="1" x14ac:dyDescent="0.3">
      <c r="E2763" s="124" t="str">
        <f>IFERROR(VLOOKUP(C2763,'Base de donnée articles'!$B$8:$C$331,2,FALSE)," ")</f>
        <v xml:space="preserve"> </v>
      </c>
    </row>
    <row r="2764" spans="5:5" ht="15" customHeight="1" x14ac:dyDescent="0.3">
      <c r="E2764" s="124" t="str">
        <f>IFERROR(VLOOKUP(C2764,'Base de donnée articles'!$B$8:$C$331,2,FALSE)," ")</f>
        <v xml:space="preserve"> </v>
      </c>
    </row>
    <row r="2765" spans="5:5" ht="15" customHeight="1" x14ac:dyDescent="0.3">
      <c r="E2765" s="124" t="str">
        <f>IFERROR(VLOOKUP(C2765,'Base de donnée articles'!$B$8:$C$331,2,FALSE)," ")</f>
        <v xml:space="preserve"> </v>
      </c>
    </row>
    <row r="2766" spans="5:5" ht="15" customHeight="1" x14ac:dyDescent="0.3">
      <c r="E2766" s="124" t="str">
        <f>IFERROR(VLOOKUP(C2766,'Base de donnée articles'!$B$8:$C$331,2,FALSE)," ")</f>
        <v xml:space="preserve"> </v>
      </c>
    </row>
    <row r="2767" spans="5:5" ht="15" customHeight="1" x14ac:dyDescent="0.3">
      <c r="E2767" s="124" t="str">
        <f>IFERROR(VLOOKUP(C2767,'Base de donnée articles'!$B$8:$C$331,2,FALSE)," ")</f>
        <v xml:space="preserve"> </v>
      </c>
    </row>
    <row r="2768" spans="5:5" ht="15" customHeight="1" x14ac:dyDescent="0.3">
      <c r="E2768" s="124" t="str">
        <f>IFERROR(VLOOKUP(C2768,'Base de donnée articles'!$B$8:$C$331,2,FALSE)," ")</f>
        <v xml:space="preserve"> </v>
      </c>
    </row>
    <row r="2769" spans="5:5" ht="15" customHeight="1" x14ac:dyDescent="0.3">
      <c r="E2769" s="124" t="str">
        <f>IFERROR(VLOOKUP(C2769,'Base de donnée articles'!$B$8:$C$331,2,FALSE)," ")</f>
        <v xml:space="preserve"> </v>
      </c>
    </row>
    <row r="2770" spans="5:5" ht="15" customHeight="1" x14ac:dyDescent="0.3">
      <c r="E2770" s="124" t="str">
        <f>IFERROR(VLOOKUP(C2770,'Base de donnée articles'!$B$8:$C$331,2,FALSE)," ")</f>
        <v xml:space="preserve"> </v>
      </c>
    </row>
    <row r="2771" spans="5:5" ht="15" customHeight="1" x14ac:dyDescent="0.3">
      <c r="E2771" s="124" t="str">
        <f>IFERROR(VLOOKUP(C2771,'Base de donnée articles'!$B$8:$C$331,2,FALSE)," ")</f>
        <v xml:space="preserve"> </v>
      </c>
    </row>
    <row r="2772" spans="5:5" ht="15" customHeight="1" x14ac:dyDescent="0.3">
      <c r="E2772" s="124" t="str">
        <f>IFERROR(VLOOKUP(C2772,'Base de donnée articles'!$B$8:$C$331,2,FALSE)," ")</f>
        <v xml:space="preserve"> </v>
      </c>
    </row>
    <row r="2773" spans="5:5" ht="15" customHeight="1" x14ac:dyDescent="0.3">
      <c r="E2773" s="124" t="str">
        <f>IFERROR(VLOOKUP(C2773,'Base de donnée articles'!$B$8:$C$331,2,FALSE)," ")</f>
        <v xml:space="preserve"> </v>
      </c>
    </row>
    <row r="2774" spans="5:5" ht="15" customHeight="1" x14ac:dyDescent="0.3">
      <c r="E2774" s="124" t="str">
        <f>IFERROR(VLOOKUP(C2774,'Base de donnée articles'!$B$8:$C$331,2,FALSE)," ")</f>
        <v xml:space="preserve"> </v>
      </c>
    </row>
    <row r="2775" spans="5:5" ht="15" customHeight="1" x14ac:dyDescent="0.3">
      <c r="E2775" s="124" t="str">
        <f>IFERROR(VLOOKUP(C2775,'Base de donnée articles'!$B$8:$C$331,2,FALSE)," ")</f>
        <v xml:space="preserve"> </v>
      </c>
    </row>
    <row r="2776" spans="5:5" ht="15" customHeight="1" x14ac:dyDescent="0.3">
      <c r="E2776" s="124" t="str">
        <f>IFERROR(VLOOKUP(C2776,'Base de donnée articles'!$B$8:$C$331,2,FALSE)," ")</f>
        <v xml:space="preserve"> </v>
      </c>
    </row>
    <row r="2777" spans="5:5" ht="15" customHeight="1" x14ac:dyDescent="0.3">
      <c r="E2777" s="124" t="str">
        <f>IFERROR(VLOOKUP(C2777,'Base de donnée articles'!$B$8:$C$331,2,FALSE)," ")</f>
        <v xml:space="preserve"> </v>
      </c>
    </row>
    <row r="2778" spans="5:5" ht="15" customHeight="1" x14ac:dyDescent="0.3">
      <c r="E2778" s="124" t="str">
        <f>IFERROR(VLOOKUP(C2778,'Base de donnée articles'!$B$8:$C$331,2,FALSE)," ")</f>
        <v xml:space="preserve"> </v>
      </c>
    </row>
    <row r="2779" spans="5:5" ht="15" customHeight="1" x14ac:dyDescent="0.3">
      <c r="E2779" s="124" t="str">
        <f>IFERROR(VLOOKUP(C2779,'Base de donnée articles'!$B$8:$C$331,2,FALSE)," ")</f>
        <v xml:space="preserve"> </v>
      </c>
    </row>
    <row r="2780" spans="5:5" ht="15" customHeight="1" x14ac:dyDescent="0.3">
      <c r="E2780" s="124" t="str">
        <f>IFERROR(VLOOKUP(C2780,'Base de donnée articles'!$B$8:$C$331,2,FALSE)," ")</f>
        <v xml:space="preserve"> </v>
      </c>
    </row>
    <row r="2781" spans="5:5" ht="15" customHeight="1" x14ac:dyDescent="0.3">
      <c r="E2781" s="124" t="str">
        <f>IFERROR(VLOOKUP(C2781,'Base de donnée articles'!$B$8:$C$331,2,FALSE)," ")</f>
        <v xml:space="preserve"> </v>
      </c>
    </row>
    <row r="2782" spans="5:5" ht="15" customHeight="1" x14ac:dyDescent="0.3">
      <c r="E2782" s="124" t="str">
        <f>IFERROR(VLOOKUP(C2782,'Base de donnée articles'!$B$8:$C$331,2,FALSE)," ")</f>
        <v xml:space="preserve"> </v>
      </c>
    </row>
    <row r="2783" spans="5:5" ht="15" customHeight="1" x14ac:dyDescent="0.3">
      <c r="E2783" s="124" t="str">
        <f>IFERROR(VLOOKUP(C2783,'Base de donnée articles'!$B$8:$C$331,2,FALSE)," ")</f>
        <v xml:space="preserve"> </v>
      </c>
    </row>
    <row r="2784" spans="5:5" ht="15" customHeight="1" x14ac:dyDescent="0.3">
      <c r="E2784" s="124" t="str">
        <f>IFERROR(VLOOKUP(C2784,'Base de donnée articles'!$B$8:$C$331,2,FALSE)," ")</f>
        <v xml:space="preserve"> </v>
      </c>
    </row>
    <row r="2785" spans="5:5" ht="15" customHeight="1" x14ac:dyDescent="0.3">
      <c r="E2785" s="124" t="str">
        <f>IFERROR(VLOOKUP(C2785,'Base de donnée articles'!$B$8:$C$331,2,FALSE)," ")</f>
        <v xml:space="preserve"> </v>
      </c>
    </row>
    <row r="2786" spans="5:5" ht="15" customHeight="1" x14ac:dyDescent="0.3">
      <c r="E2786" s="124" t="str">
        <f>IFERROR(VLOOKUP(C2786,'Base de donnée articles'!$B$8:$C$331,2,FALSE)," ")</f>
        <v xml:space="preserve"> </v>
      </c>
    </row>
    <row r="2787" spans="5:5" ht="15" customHeight="1" x14ac:dyDescent="0.3">
      <c r="E2787" s="124" t="str">
        <f>IFERROR(VLOOKUP(C2787,'Base de donnée articles'!$B$8:$C$331,2,FALSE)," ")</f>
        <v xml:space="preserve"> </v>
      </c>
    </row>
    <row r="2788" spans="5:5" ht="15" customHeight="1" x14ac:dyDescent="0.3">
      <c r="E2788" s="124" t="str">
        <f>IFERROR(VLOOKUP(C2788,'Base de donnée articles'!$B$8:$C$331,2,FALSE)," ")</f>
        <v xml:space="preserve"> </v>
      </c>
    </row>
    <row r="2789" spans="5:5" ht="15" customHeight="1" x14ac:dyDescent="0.3">
      <c r="E2789" s="124" t="str">
        <f>IFERROR(VLOOKUP(C2789,'Base de donnée articles'!$B$8:$C$331,2,FALSE)," ")</f>
        <v xml:space="preserve"> </v>
      </c>
    </row>
    <row r="2790" spans="5:5" ht="15" customHeight="1" x14ac:dyDescent="0.3">
      <c r="E2790" s="124" t="str">
        <f>IFERROR(VLOOKUP(C2790,'Base de donnée articles'!$B$8:$C$331,2,FALSE)," ")</f>
        <v xml:space="preserve"> </v>
      </c>
    </row>
    <row r="2791" spans="5:5" ht="15" customHeight="1" x14ac:dyDescent="0.3">
      <c r="E2791" s="124" t="str">
        <f>IFERROR(VLOOKUP(C2791,'Base de donnée articles'!$B$8:$C$331,2,FALSE)," ")</f>
        <v xml:space="preserve"> </v>
      </c>
    </row>
    <row r="2792" spans="5:5" ht="15" customHeight="1" x14ac:dyDescent="0.3">
      <c r="E2792" s="124" t="str">
        <f>IFERROR(VLOOKUP(C2792,'Base de donnée articles'!$B$8:$C$331,2,FALSE)," ")</f>
        <v xml:space="preserve"> </v>
      </c>
    </row>
    <row r="2793" spans="5:5" ht="15" customHeight="1" x14ac:dyDescent="0.3">
      <c r="E2793" s="124" t="str">
        <f>IFERROR(VLOOKUP(C2793,'Base de donnée articles'!$B$8:$C$331,2,FALSE)," ")</f>
        <v xml:space="preserve"> </v>
      </c>
    </row>
    <row r="2794" spans="5:5" ht="15" customHeight="1" x14ac:dyDescent="0.3">
      <c r="E2794" s="124" t="str">
        <f>IFERROR(VLOOKUP(C2794,'Base de donnée articles'!$B$8:$C$331,2,FALSE)," ")</f>
        <v xml:space="preserve"> </v>
      </c>
    </row>
    <row r="2795" spans="5:5" ht="15" customHeight="1" x14ac:dyDescent="0.3">
      <c r="E2795" s="124" t="str">
        <f>IFERROR(VLOOKUP(C2795,'Base de donnée articles'!$B$8:$C$331,2,FALSE)," ")</f>
        <v xml:space="preserve"> </v>
      </c>
    </row>
    <row r="2796" spans="5:5" ht="15" customHeight="1" x14ac:dyDescent="0.3">
      <c r="E2796" s="124" t="str">
        <f>IFERROR(VLOOKUP(C2796,'Base de donnée articles'!$B$8:$C$331,2,FALSE)," ")</f>
        <v xml:space="preserve"> </v>
      </c>
    </row>
    <row r="2797" spans="5:5" ht="15" customHeight="1" x14ac:dyDescent="0.3">
      <c r="E2797" s="124" t="str">
        <f>IFERROR(VLOOKUP(C2797,'Base de donnée articles'!$B$8:$C$331,2,FALSE)," ")</f>
        <v xml:space="preserve"> </v>
      </c>
    </row>
    <row r="2798" spans="5:5" ht="15" customHeight="1" x14ac:dyDescent="0.3">
      <c r="E2798" s="124" t="str">
        <f>IFERROR(VLOOKUP(C2798,'Base de donnée articles'!$B$8:$C$331,2,FALSE)," ")</f>
        <v xml:space="preserve"> </v>
      </c>
    </row>
    <row r="2799" spans="5:5" ht="15" customHeight="1" x14ac:dyDescent="0.3">
      <c r="E2799" s="124" t="str">
        <f>IFERROR(VLOOKUP(C2799,'Base de donnée articles'!$B$8:$C$331,2,FALSE)," ")</f>
        <v xml:space="preserve"> </v>
      </c>
    </row>
    <row r="2800" spans="5:5" ht="15" customHeight="1" x14ac:dyDescent="0.3">
      <c r="E2800" s="124" t="str">
        <f>IFERROR(VLOOKUP(C2800,'Base de donnée articles'!$B$8:$C$331,2,FALSE)," ")</f>
        <v xml:space="preserve"> </v>
      </c>
    </row>
    <row r="2801" spans="5:5" ht="15" customHeight="1" x14ac:dyDescent="0.3">
      <c r="E2801" s="124" t="str">
        <f>IFERROR(VLOOKUP(C2801,'Base de donnée articles'!$B$8:$C$331,2,FALSE)," ")</f>
        <v xml:space="preserve"> </v>
      </c>
    </row>
    <row r="2802" spans="5:5" ht="15" customHeight="1" x14ac:dyDescent="0.3">
      <c r="E2802" s="124" t="str">
        <f>IFERROR(VLOOKUP(C2802,'Base de donnée articles'!$B$8:$C$331,2,FALSE)," ")</f>
        <v xml:space="preserve"> </v>
      </c>
    </row>
    <row r="2803" spans="5:5" ht="15" customHeight="1" x14ac:dyDescent="0.3">
      <c r="E2803" s="124" t="str">
        <f>IFERROR(VLOOKUP(C2803,'Base de donnée articles'!$B$8:$C$331,2,FALSE)," ")</f>
        <v xml:space="preserve"> </v>
      </c>
    </row>
    <row r="2804" spans="5:5" ht="15" customHeight="1" x14ac:dyDescent="0.3">
      <c r="E2804" s="124" t="str">
        <f>IFERROR(VLOOKUP(C2804,'Base de donnée articles'!$B$8:$C$331,2,FALSE)," ")</f>
        <v xml:space="preserve"> </v>
      </c>
    </row>
    <row r="2805" spans="5:5" ht="15" customHeight="1" x14ac:dyDescent="0.3">
      <c r="E2805" s="124" t="str">
        <f>IFERROR(VLOOKUP(C2805,'Base de donnée articles'!$B$8:$C$331,2,FALSE)," ")</f>
        <v xml:space="preserve"> </v>
      </c>
    </row>
    <row r="2806" spans="5:5" ht="15" customHeight="1" x14ac:dyDescent="0.3">
      <c r="E2806" s="124" t="str">
        <f>IFERROR(VLOOKUP(C2806,'Base de donnée articles'!$B$8:$C$331,2,FALSE)," ")</f>
        <v xml:space="preserve"> </v>
      </c>
    </row>
    <row r="2807" spans="5:5" ht="15" customHeight="1" x14ac:dyDescent="0.3">
      <c r="E2807" s="124" t="str">
        <f>IFERROR(VLOOKUP(C2807,'Base de donnée articles'!$B$8:$C$331,2,FALSE)," ")</f>
        <v xml:space="preserve"> </v>
      </c>
    </row>
    <row r="2808" spans="5:5" ht="15" customHeight="1" x14ac:dyDescent="0.3">
      <c r="E2808" s="124" t="str">
        <f>IFERROR(VLOOKUP(C2808,'Base de donnée articles'!$B$8:$C$331,2,FALSE)," ")</f>
        <v xml:space="preserve"> </v>
      </c>
    </row>
    <row r="2809" spans="5:5" ht="15" customHeight="1" x14ac:dyDescent="0.3">
      <c r="E2809" s="124" t="str">
        <f>IFERROR(VLOOKUP(C2809,'Base de donnée articles'!$B$8:$C$331,2,FALSE)," ")</f>
        <v xml:space="preserve"> </v>
      </c>
    </row>
    <row r="2810" spans="5:5" ht="15" customHeight="1" x14ac:dyDescent="0.3">
      <c r="E2810" s="124" t="str">
        <f>IFERROR(VLOOKUP(C2810,'Base de donnée articles'!$B$8:$C$331,2,FALSE)," ")</f>
        <v xml:space="preserve"> </v>
      </c>
    </row>
    <row r="2811" spans="5:5" ht="15" customHeight="1" x14ac:dyDescent="0.3">
      <c r="E2811" s="124" t="str">
        <f>IFERROR(VLOOKUP(C2811,'Base de donnée articles'!$B$8:$C$331,2,FALSE)," ")</f>
        <v xml:space="preserve"> </v>
      </c>
    </row>
    <row r="2812" spans="5:5" ht="15" customHeight="1" x14ac:dyDescent="0.3">
      <c r="E2812" s="124" t="str">
        <f>IFERROR(VLOOKUP(C2812,'Base de donnée articles'!$B$8:$C$331,2,FALSE)," ")</f>
        <v xml:space="preserve"> </v>
      </c>
    </row>
    <row r="2813" spans="5:5" ht="15" customHeight="1" x14ac:dyDescent="0.3">
      <c r="E2813" s="124" t="str">
        <f>IFERROR(VLOOKUP(C2813,'Base de donnée articles'!$B$8:$C$331,2,FALSE)," ")</f>
        <v xml:space="preserve"> </v>
      </c>
    </row>
    <row r="2814" spans="5:5" ht="15" customHeight="1" x14ac:dyDescent="0.3">
      <c r="E2814" s="124" t="str">
        <f>IFERROR(VLOOKUP(C2814,'Base de donnée articles'!$B$8:$C$331,2,FALSE)," ")</f>
        <v xml:space="preserve"> </v>
      </c>
    </row>
    <row r="2815" spans="5:5" ht="15" customHeight="1" x14ac:dyDescent="0.3">
      <c r="E2815" s="124" t="str">
        <f>IFERROR(VLOOKUP(C2815,'Base de donnée articles'!$B$8:$C$331,2,FALSE)," ")</f>
        <v xml:space="preserve"> </v>
      </c>
    </row>
    <row r="2816" spans="5:5" ht="15" customHeight="1" x14ac:dyDescent="0.3">
      <c r="E2816" s="124" t="str">
        <f>IFERROR(VLOOKUP(C2816,'Base de donnée articles'!$B$8:$C$331,2,FALSE)," ")</f>
        <v xml:space="preserve"> </v>
      </c>
    </row>
    <row r="2817" spans="5:5" ht="15" customHeight="1" x14ac:dyDescent="0.3">
      <c r="E2817" s="124" t="str">
        <f>IFERROR(VLOOKUP(C2817,'Base de donnée articles'!$B$8:$C$331,2,FALSE)," ")</f>
        <v xml:space="preserve"> </v>
      </c>
    </row>
    <row r="2818" spans="5:5" ht="15" customHeight="1" x14ac:dyDescent="0.3">
      <c r="E2818" s="124" t="str">
        <f>IFERROR(VLOOKUP(C2818,'Base de donnée articles'!$B$8:$C$331,2,FALSE)," ")</f>
        <v xml:space="preserve"> </v>
      </c>
    </row>
    <row r="2819" spans="5:5" ht="15" customHeight="1" x14ac:dyDescent="0.3">
      <c r="E2819" s="124" t="str">
        <f>IFERROR(VLOOKUP(C2819,'Base de donnée articles'!$B$8:$C$331,2,FALSE)," ")</f>
        <v xml:space="preserve"> </v>
      </c>
    </row>
    <row r="2820" spans="5:5" ht="15" customHeight="1" x14ac:dyDescent="0.3">
      <c r="E2820" s="124" t="str">
        <f>IFERROR(VLOOKUP(C2820,'Base de donnée articles'!$B$8:$C$331,2,FALSE)," ")</f>
        <v xml:space="preserve"> </v>
      </c>
    </row>
    <row r="2821" spans="5:5" ht="15" customHeight="1" x14ac:dyDescent="0.3">
      <c r="E2821" s="124" t="str">
        <f>IFERROR(VLOOKUP(C2821,'Base de donnée articles'!$B$8:$C$331,2,FALSE)," ")</f>
        <v xml:space="preserve"> </v>
      </c>
    </row>
    <row r="2822" spans="5:5" ht="15" customHeight="1" x14ac:dyDescent="0.3">
      <c r="E2822" s="124" t="str">
        <f>IFERROR(VLOOKUP(C2822,'Base de donnée articles'!$B$8:$C$331,2,FALSE)," ")</f>
        <v xml:space="preserve"> </v>
      </c>
    </row>
    <row r="2823" spans="5:5" ht="15" customHeight="1" x14ac:dyDescent="0.3">
      <c r="E2823" s="124" t="str">
        <f>IFERROR(VLOOKUP(C2823,'Base de donnée articles'!$B$8:$C$331,2,FALSE)," ")</f>
        <v xml:space="preserve"> </v>
      </c>
    </row>
    <row r="2824" spans="5:5" ht="15" customHeight="1" x14ac:dyDescent="0.3">
      <c r="E2824" s="124" t="str">
        <f>IFERROR(VLOOKUP(C2824,'Base de donnée articles'!$B$8:$C$331,2,FALSE)," ")</f>
        <v xml:space="preserve"> </v>
      </c>
    </row>
    <row r="2825" spans="5:5" ht="15" customHeight="1" x14ac:dyDescent="0.3">
      <c r="E2825" s="124" t="str">
        <f>IFERROR(VLOOKUP(C2825,'Base de donnée articles'!$B$8:$C$331,2,FALSE)," ")</f>
        <v xml:space="preserve"> </v>
      </c>
    </row>
    <row r="2826" spans="5:5" ht="15" customHeight="1" x14ac:dyDescent="0.3">
      <c r="E2826" s="124" t="str">
        <f>IFERROR(VLOOKUP(C2826,'Base de donnée articles'!$B$8:$C$331,2,FALSE)," ")</f>
        <v xml:space="preserve"> </v>
      </c>
    </row>
    <row r="2827" spans="5:5" ht="15" customHeight="1" x14ac:dyDescent="0.3">
      <c r="E2827" s="124" t="str">
        <f>IFERROR(VLOOKUP(C2827,'Base de donnée articles'!$B$8:$C$331,2,FALSE)," ")</f>
        <v xml:space="preserve"> </v>
      </c>
    </row>
    <row r="2828" spans="5:5" ht="15" customHeight="1" x14ac:dyDescent="0.3">
      <c r="E2828" s="124" t="str">
        <f>IFERROR(VLOOKUP(C2828,'Base de donnée articles'!$B$8:$C$331,2,FALSE)," ")</f>
        <v xml:space="preserve"> </v>
      </c>
    </row>
    <row r="2829" spans="5:5" ht="15" customHeight="1" x14ac:dyDescent="0.3">
      <c r="E2829" s="124" t="str">
        <f>IFERROR(VLOOKUP(C2829,'Base de donnée articles'!$B$8:$C$331,2,FALSE)," ")</f>
        <v xml:space="preserve"> </v>
      </c>
    </row>
    <row r="2830" spans="5:5" ht="15" customHeight="1" x14ac:dyDescent="0.3">
      <c r="E2830" s="124" t="str">
        <f>IFERROR(VLOOKUP(C2830,'Base de donnée articles'!$B$8:$C$331,2,FALSE)," ")</f>
        <v xml:space="preserve"> </v>
      </c>
    </row>
    <row r="2831" spans="5:5" ht="15" customHeight="1" x14ac:dyDescent="0.3">
      <c r="E2831" s="124" t="str">
        <f>IFERROR(VLOOKUP(C2831,'Base de donnée articles'!$B$8:$C$331,2,FALSE)," ")</f>
        <v xml:space="preserve"> </v>
      </c>
    </row>
    <row r="2832" spans="5:5" ht="15" customHeight="1" x14ac:dyDescent="0.3">
      <c r="E2832" s="124" t="str">
        <f>IFERROR(VLOOKUP(C2832,'Base de donnée articles'!$B$8:$C$331,2,FALSE)," ")</f>
        <v xml:space="preserve"> </v>
      </c>
    </row>
    <row r="2833" spans="5:5" ht="15" customHeight="1" x14ac:dyDescent="0.3">
      <c r="E2833" s="124" t="str">
        <f>IFERROR(VLOOKUP(C2833,'Base de donnée articles'!$B$8:$C$331,2,FALSE)," ")</f>
        <v xml:space="preserve"> </v>
      </c>
    </row>
    <row r="2834" spans="5:5" ht="15" customHeight="1" x14ac:dyDescent="0.3">
      <c r="E2834" s="124" t="str">
        <f>IFERROR(VLOOKUP(C2834,'Base de donnée articles'!$B$8:$C$331,2,FALSE)," ")</f>
        <v xml:space="preserve"> </v>
      </c>
    </row>
    <row r="2835" spans="5:5" ht="15" customHeight="1" x14ac:dyDescent="0.3">
      <c r="E2835" s="124" t="str">
        <f>IFERROR(VLOOKUP(C2835,'Base de donnée articles'!$B$8:$C$331,2,FALSE)," ")</f>
        <v xml:space="preserve"> </v>
      </c>
    </row>
    <row r="2836" spans="5:5" ht="15" customHeight="1" x14ac:dyDescent="0.3">
      <c r="E2836" s="124" t="str">
        <f>IFERROR(VLOOKUP(C2836,'Base de donnée articles'!$B$8:$C$331,2,FALSE)," ")</f>
        <v xml:space="preserve"> </v>
      </c>
    </row>
    <row r="2837" spans="5:5" ht="15" customHeight="1" x14ac:dyDescent="0.3">
      <c r="E2837" s="124" t="str">
        <f>IFERROR(VLOOKUP(C2837,'Base de donnée articles'!$B$8:$C$331,2,FALSE)," ")</f>
        <v xml:space="preserve"> </v>
      </c>
    </row>
    <row r="2838" spans="5:5" ht="15" customHeight="1" x14ac:dyDescent="0.3">
      <c r="E2838" s="124" t="str">
        <f>IFERROR(VLOOKUP(C2838,'Base de donnée articles'!$B$8:$C$331,2,FALSE)," ")</f>
        <v xml:space="preserve"> </v>
      </c>
    </row>
    <row r="2839" spans="5:5" ht="15" customHeight="1" x14ac:dyDescent="0.3">
      <c r="E2839" s="124" t="str">
        <f>IFERROR(VLOOKUP(C2839,'Base de donnée articles'!$B$8:$C$331,2,FALSE)," ")</f>
        <v xml:space="preserve"> </v>
      </c>
    </row>
    <row r="2840" spans="5:5" ht="15" customHeight="1" x14ac:dyDescent="0.3">
      <c r="E2840" s="124" t="str">
        <f>IFERROR(VLOOKUP(C2840,'Base de donnée articles'!$B$8:$C$331,2,FALSE)," ")</f>
        <v xml:space="preserve"> </v>
      </c>
    </row>
    <row r="2841" spans="5:5" ht="15" customHeight="1" x14ac:dyDescent="0.3">
      <c r="E2841" s="124" t="str">
        <f>IFERROR(VLOOKUP(C2841,'Base de donnée articles'!$B$8:$C$331,2,FALSE)," ")</f>
        <v xml:space="preserve"> </v>
      </c>
    </row>
    <row r="2842" spans="5:5" ht="15" customHeight="1" x14ac:dyDescent="0.3">
      <c r="E2842" s="124" t="str">
        <f>IFERROR(VLOOKUP(C2842,'Base de donnée articles'!$B$8:$C$331,2,FALSE)," ")</f>
        <v xml:space="preserve"> </v>
      </c>
    </row>
    <row r="2843" spans="5:5" ht="15" customHeight="1" x14ac:dyDescent="0.3">
      <c r="E2843" s="124" t="str">
        <f>IFERROR(VLOOKUP(C2843,'Base de donnée articles'!$B$8:$C$331,2,FALSE)," ")</f>
        <v xml:space="preserve"> </v>
      </c>
    </row>
    <row r="2844" spans="5:5" ht="15" customHeight="1" x14ac:dyDescent="0.3">
      <c r="E2844" s="124" t="str">
        <f>IFERROR(VLOOKUP(C2844,'Base de donnée articles'!$B$8:$C$331,2,FALSE)," ")</f>
        <v xml:space="preserve"> </v>
      </c>
    </row>
    <row r="2845" spans="5:5" ht="15" customHeight="1" x14ac:dyDescent="0.3">
      <c r="E2845" s="124" t="str">
        <f>IFERROR(VLOOKUP(C2845,'Base de donnée articles'!$B$8:$C$331,2,FALSE)," ")</f>
        <v xml:space="preserve"> </v>
      </c>
    </row>
    <row r="2846" spans="5:5" ht="15" customHeight="1" x14ac:dyDescent="0.3">
      <c r="E2846" s="124" t="str">
        <f>IFERROR(VLOOKUP(C2846,'Base de donnée articles'!$B$8:$C$331,2,FALSE)," ")</f>
        <v xml:space="preserve"> </v>
      </c>
    </row>
    <row r="2847" spans="5:5" ht="15" customHeight="1" x14ac:dyDescent="0.3">
      <c r="E2847" s="124" t="str">
        <f>IFERROR(VLOOKUP(C2847,'Base de donnée articles'!$B$8:$C$331,2,FALSE)," ")</f>
        <v xml:space="preserve"> </v>
      </c>
    </row>
    <row r="2848" spans="5:5" ht="15" customHeight="1" x14ac:dyDescent="0.3">
      <c r="E2848" s="124" t="str">
        <f>IFERROR(VLOOKUP(C2848,'Base de donnée articles'!$B$8:$C$331,2,FALSE)," ")</f>
        <v xml:space="preserve"> </v>
      </c>
    </row>
    <row r="2849" spans="5:5" ht="15" customHeight="1" x14ac:dyDescent="0.3">
      <c r="E2849" s="124" t="str">
        <f>IFERROR(VLOOKUP(C2849,'Base de donnée articles'!$B$8:$C$331,2,FALSE)," ")</f>
        <v xml:space="preserve"> </v>
      </c>
    </row>
    <row r="2850" spans="5:5" ht="15" customHeight="1" x14ac:dyDescent="0.3">
      <c r="E2850" s="124" t="str">
        <f>IFERROR(VLOOKUP(C2850,'Base de donnée articles'!$B$8:$C$331,2,FALSE)," ")</f>
        <v xml:space="preserve"> </v>
      </c>
    </row>
    <row r="2851" spans="5:5" ht="15" customHeight="1" x14ac:dyDescent="0.3">
      <c r="E2851" s="124" t="str">
        <f>IFERROR(VLOOKUP(C2851,'Base de donnée articles'!$B$8:$C$331,2,FALSE)," ")</f>
        <v xml:space="preserve"> </v>
      </c>
    </row>
    <row r="2852" spans="5:5" ht="15" customHeight="1" x14ac:dyDescent="0.3">
      <c r="E2852" s="124" t="str">
        <f>IFERROR(VLOOKUP(C2852,'Base de donnée articles'!$B$8:$C$331,2,FALSE)," ")</f>
        <v xml:space="preserve"> </v>
      </c>
    </row>
    <row r="2853" spans="5:5" ht="15" customHeight="1" x14ac:dyDescent="0.3">
      <c r="E2853" s="124" t="str">
        <f>IFERROR(VLOOKUP(C2853,'Base de donnée articles'!$B$8:$C$331,2,FALSE)," ")</f>
        <v xml:space="preserve"> </v>
      </c>
    </row>
    <row r="2854" spans="5:5" ht="15" customHeight="1" x14ac:dyDescent="0.3">
      <c r="E2854" s="124" t="str">
        <f>IFERROR(VLOOKUP(C2854,'Base de donnée articles'!$B$8:$C$331,2,FALSE)," ")</f>
        <v xml:space="preserve"> </v>
      </c>
    </row>
    <row r="2855" spans="5:5" ht="15" customHeight="1" x14ac:dyDescent="0.3">
      <c r="E2855" s="124" t="str">
        <f>IFERROR(VLOOKUP(C2855,'Base de donnée articles'!$B$8:$C$331,2,FALSE)," ")</f>
        <v xml:space="preserve"> </v>
      </c>
    </row>
    <row r="2856" spans="5:5" ht="15" customHeight="1" x14ac:dyDescent="0.3">
      <c r="E2856" s="124" t="str">
        <f>IFERROR(VLOOKUP(C2856,'Base de donnée articles'!$B$8:$C$331,2,FALSE)," ")</f>
        <v xml:space="preserve"> </v>
      </c>
    </row>
    <row r="2857" spans="5:5" ht="15" customHeight="1" x14ac:dyDescent="0.3">
      <c r="E2857" s="124" t="str">
        <f>IFERROR(VLOOKUP(C2857,'Base de donnée articles'!$B$8:$C$331,2,FALSE)," ")</f>
        <v xml:space="preserve"> </v>
      </c>
    </row>
    <row r="2858" spans="5:5" ht="15" customHeight="1" x14ac:dyDescent="0.3">
      <c r="E2858" s="124" t="str">
        <f>IFERROR(VLOOKUP(C2858,'Base de donnée articles'!$B$8:$C$331,2,FALSE)," ")</f>
        <v xml:space="preserve"> </v>
      </c>
    </row>
    <row r="2859" spans="5:5" ht="15" customHeight="1" x14ac:dyDescent="0.3">
      <c r="E2859" s="124" t="str">
        <f>IFERROR(VLOOKUP(C2859,'Base de donnée articles'!$B$8:$C$331,2,FALSE)," ")</f>
        <v xml:space="preserve"> </v>
      </c>
    </row>
    <row r="2860" spans="5:5" ht="15" customHeight="1" x14ac:dyDescent="0.3">
      <c r="E2860" s="124" t="str">
        <f>IFERROR(VLOOKUP(C2860,'Base de donnée articles'!$B$8:$C$331,2,FALSE)," ")</f>
        <v xml:space="preserve"> </v>
      </c>
    </row>
    <row r="2861" spans="5:5" ht="15" customHeight="1" x14ac:dyDescent="0.3">
      <c r="E2861" s="124" t="str">
        <f>IFERROR(VLOOKUP(C2861,'Base de donnée articles'!$B$8:$C$331,2,FALSE)," ")</f>
        <v xml:space="preserve"> </v>
      </c>
    </row>
    <row r="2862" spans="5:5" ht="15" customHeight="1" x14ac:dyDescent="0.3">
      <c r="E2862" s="124" t="str">
        <f>IFERROR(VLOOKUP(C2862,'Base de donnée articles'!$B$8:$C$331,2,FALSE)," ")</f>
        <v xml:space="preserve"> </v>
      </c>
    </row>
    <row r="2863" spans="5:5" ht="15" customHeight="1" x14ac:dyDescent="0.3">
      <c r="E2863" s="124" t="str">
        <f>IFERROR(VLOOKUP(C2863,'Base de donnée articles'!$B$8:$C$331,2,FALSE)," ")</f>
        <v xml:space="preserve"> </v>
      </c>
    </row>
    <row r="2864" spans="5:5" ht="15" customHeight="1" x14ac:dyDescent="0.3">
      <c r="E2864" s="124" t="str">
        <f>IFERROR(VLOOKUP(C2864,'Base de donnée articles'!$B$8:$C$331,2,FALSE)," ")</f>
        <v xml:space="preserve"> </v>
      </c>
    </row>
    <row r="2865" spans="5:5" ht="15" customHeight="1" x14ac:dyDescent="0.3">
      <c r="E2865" s="124" t="str">
        <f>IFERROR(VLOOKUP(C2865,'Base de donnée articles'!$B$8:$C$331,2,FALSE)," ")</f>
        <v xml:space="preserve"> </v>
      </c>
    </row>
    <row r="2866" spans="5:5" ht="15" customHeight="1" x14ac:dyDescent="0.3">
      <c r="E2866" s="124" t="str">
        <f>IFERROR(VLOOKUP(C2866,'Base de donnée articles'!$B$8:$C$331,2,FALSE)," ")</f>
        <v xml:space="preserve"> </v>
      </c>
    </row>
    <row r="2867" spans="5:5" ht="15" customHeight="1" x14ac:dyDescent="0.3">
      <c r="E2867" s="124" t="str">
        <f>IFERROR(VLOOKUP(C2867,'Base de donnée articles'!$B$8:$C$331,2,FALSE)," ")</f>
        <v xml:space="preserve"> </v>
      </c>
    </row>
    <row r="2868" spans="5:5" ht="15" customHeight="1" x14ac:dyDescent="0.3">
      <c r="E2868" s="124" t="str">
        <f>IFERROR(VLOOKUP(C2868,'Base de donnée articles'!$B$8:$C$331,2,FALSE)," ")</f>
        <v xml:space="preserve"> </v>
      </c>
    </row>
    <row r="2869" spans="5:5" ht="15" customHeight="1" x14ac:dyDescent="0.3">
      <c r="E2869" s="124" t="str">
        <f>IFERROR(VLOOKUP(C2869,'Base de donnée articles'!$B$8:$C$331,2,FALSE)," ")</f>
        <v xml:space="preserve"> </v>
      </c>
    </row>
    <row r="2870" spans="5:5" ht="15" customHeight="1" x14ac:dyDescent="0.3">
      <c r="E2870" s="124" t="str">
        <f>IFERROR(VLOOKUP(C2870,'Base de donnée articles'!$B$8:$C$331,2,FALSE)," ")</f>
        <v xml:space="preserve"> </v>
      </c>
    </row>
    <row r="2871" spans="5:5" ht="15" customHeight="1" x14ac:dyDescent="0.3">
      <c r="E2871" s="124" t="str">
        <f>IFERROR(VLOOKUP(C2871,'Base de donnée articles'!$B$8:$C$331,2,FALSE)," ")</f>
        <v xml:space="preserve"> </v>
      </c>
    </row>
    <row r="2872" spans="5:5" ht="15" customHeight="1" x14ac:dyDescent="0.3">
      <c r="E2872" s="124" t="str">
        <f>IFERROR(VLOOKUP(C2872,'Base de donnée articles'!$B$8:$C$331,2,FALSE)," ")</f>
        <v xml:space="preserve"> </v>
      </c>
    </row>
    <row r="2873" spans="5:5" ht="15" customHeight="1" x14ac:dyDescent="0.3">
      <c r="E2873" s="124" t="str">
        <f>IFERROR(VLOOKUP(C2873,'Base de donnée articles'!$B$8:$C$331,2,FALSE)," ")</f>
        <v xml:space="preserve"> </v>
      </c>
    </row>
    <row r="2874" spans="5:5" ht="15" customHeight="1" x14ac:dyDescent="0.3">
      <c r="E2874" s="124" t="str">
        <f>IFERROR(VLOOKUP(C2874,'Base de donnée articles'!$B$8:$C$331,2,FALSE)," ")</f>
        <v xml:space="preserve"> </v>
      </c>
    </row>
    <row r="2875" spans="5:5" ht="15" customHeight="1" x14ac:dyDescent="0.3">
      <c r="E2875" s="124" t="str">
        <f>IFERROR(VLOOKUP(C2875,'Base de donnée articles'!$B$8:$C$331,2,FALSE)," ")</f>
        <v xml:space="preserve"> </v>
      </c>
    </row>
    <row r="2876" spans="5:5" ht="15" customHeight="1" x14ac:dyDescent="0.3">
      <c r="E2876" s="124" t="str">
        <f>IFERROR(VLOOKUP(C2876,'Base de donnée articles'!$B$8:$C$331,2,FALSE)," ")</f>
        <v xml:space="preserve"> </v>
      </c>
    </row>
    <row r="2877" spans="5:5" ht="15" customHeight="1" x14ac:dyDescent="0.3">
      <c r="E2877" s="124" t="str">
        <f>IFERROR(VLOOKUP(C2877,'Base de donnée articles'!$B$8:$C$331,2,FALSE)," ")</f>
        <v xml:space="preserve"> </v>
      </c>
    </row>
    <row r="2878" spans="5:5" ht="15" customHeight="1" x14ac:dyDescent="0.3">
      <c r="E2878" s="124" t="str">
        <f>IFERROR(VLOOKUP(C2878,'Base de donnée articles'!$B$8:$C$331,2,FALSE)," ")</f>
        <v xml:space="preserve"> </v>
      </c>
    </row>
    <row r="2879" spans="5:5" ht="15" customHeight="1" x14ac:dyDescent="0.3">
      <c r="E2879" s="124" t="str">
        <f>IFERROR(VLOOKUP(C2879,'Base de donnée articles'!$B$8:$C$331,2,FALSE)," ")</f>
        <v xml:space="preserve"> </v>
      </c>
    </row>
    <row r="2880" spans="5:5" ht="15" customHeight="1" x14ac:dyDescent="0.3">
      <c r="E2880" s="124" t="str">
        <f>IFERROR(VLOOKUP(C2880,'Base de donnée articles'!$B$8:$C$331,2,FALSE)," ")</f>
        <v xml:space="preserve"> </v>
      </c>
    </row>
    <row r="2881" spans="5:5" ht="15" customHeight="1" x14ac:dyDescent="0.3">
      <c r="E2881" s="124" t="str">
        <f>IFERROR(VLOOKUP(C2881,'Base de donnée articles'!$B$8:$C$331,2,FALSE)," ")</f>
        <v xml:space="preserve"> </v>
      </c>
    </row>
    <row r="2882" spans="5:5" ht="15" customHeight="1" x14ac:dyDescent="0.3">
      <c r="E2882" s="124" t="str">
        <f>IFERROR(VLOOKUP(C2882,'Base de donnée articles'!$B$8:$C$331,2,FALSE)," ")</f>
        <v xml:space="preserve"> </v>
      </c>
    </row>
    <row r="2883" spans="5:5" ht="15" customHeight="1" x14ac:dyDescent="0.3">
      <c r="E2883" s="124" t="str">
        <f>IFERROR(VLOOKUP(C2883,'Base de donnée articles'!$B$8:$C$331,2,FALSE)," ")</f>
        <v xml:space="preserve"> </v>
      </c>
    </row>
    <row r="2884" spans="5:5" ht="15" customHeight="1" x14ac:dyDescent="0.3">
      <c r="E2884" s="124" t="str">
        <f>IFERROR(VLOOKUP(C2884,'Base de donnée articles'!$B$8:$C$331,2,FALSE)," ")</f>
        <v xml:space="preserve"> </v>
      </c>
    </row>
    <row r="2885" spans="5:5" ht="15" customHeight="1" x14ac:dyDescent="0.3">
      <c r="E2885" s="124" t="str">
        <f>IFERROR(VLOOKUP(C2885,'Base de donnée articles'!$B$8:$C$331,2,FALSE)," ")</f>
        <v xml:space="preserve"> </v>
      </c>
    </row>
    <row r="2886" spans="5:5" ht="15" customHeight="1" x14ac:dyDescent="0.3">
      <c r="E2886" s="124" t="str">
        <f>IFERROR(VLOOKUP(C2886,'Base de donnée articles'!$B$8:$C$331,2,FALSE)," ")</f>
        <v xml:space="preserve"> </v>
      </c>
    </row>
    <row r="2887" spans="5:5" ht="15" customHeight="1" x14ac:dyDescent="0.3">
      <c r="E2887" s="124" t="str">
        <f>IFERROR(VLOOKUP(C2887,'Base de donnée articles'!$B$8:$C$331,2,FALSE)," ")</f>
        <v xml:space="preserve"> </v>
      </c>
    </row>
    <row r="2888" spans="5:5" ht="15" customHeight="1" x14ac:dyDescent="0.3">
      <c r="E2888" s="124" t="str">
        <f>IFERROR(VLOOKUP(C2888,'Base de donnée articles'!$B$8:$C$331,2,FALSE)," ")</f>
        <v xml:space="preserve"> </v>
      </c>
    </row>
    <row r="2889" spans="5:5" ht="15" customHeight="1" x14ac:dyDescent="0.3">
      <c r="E2889" s="124" t="str">
        <f>IFERROR(VLOOKUP(C2889,'Base de donnée articles'!$B$8:$C$331,2,FALSE)," ")</f>
        <v xml:space="preserve"> </v>
      </c>
    </row>
    <row r="2890" spans="5:5" ht="15" customHeight="1" x14ac:dyDescent="0.3">
      <c r="E2890" s="124" t="str">
        <f>IFERROR(VLOOKUP(C2890,'Base de donnée articles'!$B$8:$C$331,2,FALSE)," ")</f>
        <v xml:space="preserve"> </v>
      </c>
    </row>
    <row r="2891" spans="5:5" ht="15" customHeight="1" x14ac:dyDescent="0.3">
      <c r="E2891" s="124" t="str">
        <f>IFERROR(VLOOKUP(C2891,'Base de donnée articles'!$B$8:$C$331,2,FALSE)," ")</f>
        <v xml:space="preserve"> </v>
      </c>
    </row>
    <row r="2892" spans="5:5" ht="15" customHeight="1" x14ac:dyDescent="0.3">
      <c r="E2892" s="124" t="str">
        <f>IFERROR(VLOOKUP(C2892,'Base de donnée articles'!$B$8:$C$331,2,FALSE)," ")</f>
        <v xml:space="preserve"> </v>
      </c>
    </row>
    <row r="2893" spans="5:5" ht="15" customHeight="1" x14ac:dyDescent="0.3">
      <c r="E2893" s="124" t="str">
        <f>IFERROR(VLOOKUP(C2893,'Base de donnée articles'!$B$8:$C$331,2,FALSE)," ")</f>
        <v xml:space="preserve"> </v>
      </c>
    </row>
    <row r="2894" spans="5:5" ht="15" customHeight="1" x14ac:dyDescent="0.3">
      <c r="E2894" s="124" t="str">
        <f>IFERROR(VLOOKUP(C2894,'Base de donnée articles'!$B$8:$C$331,2,FALSE)," ")</f>
        <v xml:space="preserve"> </v>
      </c>
    </row>
    <row r="2895" spans="5:5" ht="15" customHeight="1" x14ac:dyDescent="0.3">
      <c r="E2895" s="124" t="str">
        <f>IFERROR(VLOOKUP(C2895,'Base de donnée articles'!$B$8:$C$331,2,FALSE)," ")</f>
        <v xml:space="preserve"> </v>
      </c>
    </row>
    <row r="2896" spans="5:5" ht="15" customHeight="1" x14ac:dyDescent="0.3">
      <c r="E2896" s="124" t="str">
        <f>IFERROR(VLOOKUP(C2896,'Base de donnée articles'!$B$8:$C$331,2,FALSE)," ")</f>
        <v xml:space="preserve"> </v>
      </c>
    </row>
    <row r="2897" spans="5:5" ht="15" customHeight="1" x14ac:dyDescent="0.3">
      <c r="E2897" s="124" t="str">
        <f>IFERROR(VLOOKUP(C2897,'Base de donnée articles'!$B$8:$C$331,2,FALSE)," ")</f>
        <v xml:space="preserve"> </v>
      </c>
    </row>
    <row r="2898" spans="5:5" ht="15" customHeight="1" x14ac:dyDescent="0.3">
      <c r="E2898" s="124" t="str">
        <f>IFERROR(VLOOKUP(C2898,'Base de donnée articles'!$B$8:$C$331,2,FALSE)," ")</f>
        <v xml:space="preserve"> </v>
      </c>
    </row>
    <row r="2899" spans="5:5" ht="15" customHeight="1" x14ac:dyDescent="0.3">
      <c r="E2899" s="124" t="str">
        <f>IFERROR(VLOOKUP(C2899,'Base de donnée articles'!$B$8:$C$331,2,FALSE)," ")</f>
        <v xml:space="preserve"> </v>
      </c>
    </row>
    <row r="2900" spans="5:5" ht="15" customHeight="1" x14ac:dyDescent="0.3">
      <c r="E2900" s="124" t="str">
        <f>IFERROR(VLOOKUP(C2900,'Base de donnée articles'!$B$8:$C$331,2,FALSE)," ")</f>
        <v xml:space="preserve"> </v>
      </c>
    </row>
    <row r="2901" spans="5:5" ht="15" customHeight="1" x14ac:dyDescent="0.3">
      <c r="E2901" s="124" t="str">
        <f>IFERROR(VLOOKUP(C2901,'Base de donnée articles'!$B$8:$C$331,2,FALSE)," ")</f>
        <v xml:space="preserve"> </v>
      </c>
    </row>
    <row r="2902" spans="5:5" ht="15" customHeight="1" x14ac:dyDescent="0.3">
      <c r="E2902" s="124" t="str">
        <f>IFERROR(VLOOKUP(C2902,'Base de donnée articles'!$B$8:$C$331,2,FALSE)," ")</f>
        <v xml:space="preserve"> </v>
      </c>
    </row>
    <row r="2903" spans="5:5" ht="15" customHeight="1" x14ac:dyDescent="0.3">
      <c r="E2903" s="124" t="str">
        <f>IFERROR(VLOOKUP(C2903,'Base de donnée articles'!$B$8:$C$331,2,FALSE)," ")</f>
        <v xml:space="preserve"> </v>
      </c>
    </row>
    <row r="2904" spans="5:5" ht="15" customHeight="1" x14ac:dyDescent="0.3">
      <c r="E2904" s="124" t="str">
        <f>IFERROR(VLOOKUP(C2904,'Base de donnée articles'!$B$8:$C$331,2,FALSE)," ")</f>
        <v xml:space="preserve"> </v>
      </c>
    </row>
    <row r="2905" spans="5:5" ht="15" customHeight="1" x14ac:dyDescent="0.3">
      <c r="E2905" s="124" t="str">
        <f>IFERROR(VLOOKUP(C2905,'Base de donnée articles'!$B$8:$C$331,2,FALSE)," ")</f>
        <v xml:space="preserve"> </v>
      </c>
    </row>
    <row r="2906" spans="5:5" ht="15" customHeight="1" x14ac:dyDescent="0.3">
      <c r="E2906" s="124" t="str">
        <f>IFERROR(VLOOKUP(C2906,'Base de donnée articles'!$B$8:$C$331,2,FALSE)," ")</f>
        <v xml:space="preserve"> </v>
      </c>
    </row>
    <row r="2907" spans="5:5" ht="15" customHeight="1" x14ac:dyDescent="0.3">
      <c r="E2907" s="124" t="str">
        <f>IFERROR(VLOOKUP(C2907,'Base de donnée articles'!$B$8:$C$331,2,FALSE)," ")</f>
        <v xml:space="preserve"> </v>
      </c>
    </row>
    <row r="2908" spans="5:5" ht="15" customHeight="1" x14ac:dyDescent="0.3">
      <c r="E2908" s="124" t="str">
        <f>IFERROR(VLOOKUP(C2908,'Base de donnée articles'!$B$8:$C$331,2,FALSE)," ")</f>
        <v xml:space="preserve"> </v>
      </c>
    </row>
    <row r="2909" spans="5:5" ht="15" customHeight="1" x14ac:dyDescent="0.3">
      <c r="E2909" s="124" t="str">
        <f>IFERROR(VLOOKUP(C2909,'Base de donnée articles'!$B$8:$C$331,2,FALSE)," ")</f>
        <v xml:space="preserve"> </v>
      </c>
    </row>
    <row r="2910" spans="5:5" ht="15" customHeight="1" x14ac:dyDescent="0.3">
      <c r="E2910" s="124" t="str">
        <f>IFERROR(VLOOKUP(C2910,'Base de donnée articles'!$B$8:$C$331,2,FALSE)," ")</f>
        <v xml:space="preserve"> </v>
      </c>
    </row>
    <row r="2911" spans="5:5" ht="15" customHeight="1" x14ac:dyDescent="0.3">
      <c r="E2911" s="124" t="str">
        <f>IFERROR(VLOOKUP(C2911,'Base de donnée articles'!$B$8:$C$331,2,FALSE)," ")</f>
        <v xml:space="preserve"> </v>
      </c>
    </row>
    <row r="2912" spans="5:5" ht="15" customHeight="1" x14ac:dyDescent="0.3">
      <c r="E2912" s="124" t="str">
        <f>IFERROR(VLOOKUP(C2912,'Base de donnée articles'!$B$8:$C$331,2,FALSE)," ")</f>
        <v xml:space="preserve"> </v>
      </c>
    </row>
    <row r="2913" spans="5:5" ht="15" customHeight="1" x14ac:dyDescent="0.3">
      <c r="E2913" s="124" t="str">
        <f>IFERROR(VLOOKUP(C2913,'Base de donnée articles'!$B$8:$C$331,2,FALSE)," ")</f>
        <v xml:space="preserve"> </v>
      </c>
    </row>
    <row r="2914" spans="5:5" ht="15" customHeight="1" x14ac:dyDescent="0.3">
      <c r="E2914" s="124" t="str">
        <f>IFERROR(VLOOKUP(C2914,'Base de donnée articles'!$B$8:$C$331,2,FALSE)," ")</f>
        <v xml:space="preserve"> </v>
      </c>
    </row>
    <row r="2915" spans="5:5" ht="15" customHeight="1" x14ac:dyDescent="0.3">
      <c r="E2915" s="124" t="str">
        <f>IFERROR(VLOOKUP(C2915,'Base de donnée articles'!$B$8:$C$331,2,FALSE)," ")</f>
        <v xml:space="preserve"> </v>
      </c>
    </row>
    <row r="2916" spans="5:5" ht="15" customHeight="1" x14ac:dyDescent="0.3">
      <c r="E2916" s="124" t="str">
        <f>IFERROR(VLOOKUP(C2916,'Base de donnée articles'!$B$8:$C$331,2,FALSE)," ")</f>
        <v xml:space="preserve"> </v>
      </c>
    </row>
    <row r="2917" spans="5:5" ht="15" customHeight="1" x14ac:dyDescent="0.3">
      <c r="E2917" s="124" t="str">
        <f>IFERROR(VLOOKUP(C2917,'Base de donnée articles'!$B$8:$C$331,2,FALSE)," ")</f>
        <v xml:space="preserve"> </v>
      </c>
    </row>
    <row r="2918" spans="5:5" ht="15" customHeight="1" x14ac:dyDescent="0.3">
      <c r="E2918" s="124" t="str">
        <f>IFERROR(VLOOKUP(C2918,'Base de donnée articles'!$B$8:$C$331,2,FALSE)," ")</f>
        <v xml:space="preserve"> </v>
      </c>
    </row>
    <row r="2919" spans="5:5" ht="15" customHeight="1" x14ac:dyDescent="0.3">
      <c r="E2919" s="124" t="str">
        <f>IFERROR(VLOOKUP(C2919,'Base de donnée articles'!$B$8:$C$331,2,FALSE)," ")</f>
        <v xml:space="preserve"> </v>
      </c>
    </row>
    <row r="2920" spans="5:5" ht="15" customHeight="1" x14ac:dyDescent="0.3">
      <c r="E2920" s="124" t="str">
        <f>IFERROR(VLOOKUP(C2920,'Base de donnée articles'!$B$8:$C$331,2,FALSE)," ")</f>
        <v xml:space="preserve"> </v>
      </c>
    </row>
    <row r="2921" spans="5:5" ht="15" customHeight="1" x14ac:dyDescent="0.3">
      <c r="E2921" s="124" t="str">
        <f>IFERROR(VLOOKUP(C2921,'Base de donnée articles'!$B$8:$C$331,2,FALSE)," ")</f>
        <v xml:space="preserve"> </v>
      </c>
    </row>
    <row r="2922" spans="5:5" ht="15" customHeight="1" x14ac:dyDescent="0.3">
      <c r="E2922" s="124" t="str">
        <f>IFERROR(VLOOKUP(C2922,'Base de donnée articles'!$B$8:$C$331,2,FALSE)," ")</f>
        <v xml:space="preserve"> </v>
      </c>
    </row>
    <row r="2923" spans="5:5" ht="15" customHeight="1" x14ac:dyDescent="0.3">
      <c r="E2923" s="124" t="str">
        <f>IFERROR(VLOOKUP(C2923,'Base de donnée articles'!$B$8:$C$331,2,FALSE)," ")</f>
        <v xml:space="preserve"> </v>
      </c>
    </row>
    <row r="2924" spans="5:5" ht="15" customHeight="1" x14ac:dyDescent="0.3">
      <c r="E2924" s="124" t="str">
        <f>IFERROR(VLOOKUP(C2924,'Base de donnée articles'!$B$8:$C$331,2,FALSE)," ")</f>
        <v xml:space="preserve"> </v>
      </c>
    </row>
    <row r="2925" spans="5:5" ht="15" customHeight="1" x14ac:dyDescent="0.3">
      <c r="E2925" s="124" t="str">
        <f>IFERROR(VLOOKUP(C2925,'Base de donnée articles'!$B$8:$C$331,2,FALSE)," ")</f>
        <v xml:space="preserve"> </v>
      </c>
    </row>
    <row r="2926" spans="5:5" ht="15" customHeight="1" x14ac:dyDescent="0.3">
      <c r="E2926" s="124" t="str">
        <f>IFERROR(VLOOKUP(C2926,'Base de donnée articles'!$B$8:$C$331,2,FALSE)," ")</f>
        <v xml:space="preserve"> </v>
      </c>
    </row>
    <row r="2927" spans="5:5" ht="15" customHeight="1" x14ac:dyDescent="0.3">
      <c r="E2927" s="124" t="str">
        <f>IFERROR(VLOOKUP(C2927,'Base de donnée articles'!$B$8:$C$331,2,FALSE)," ")</f>
        <v xml:space="preserve"> </v>
      </c>
    </row>
    <row r="2928" spans="5:5" ht="15" customHeight="1" x14ac:dyDescent="0.3">
      <c r="E2928" s="124" t="str">
        <f>IFERROR(VLOOKUP(C2928,'Base de donnée articles'!$B$8:$C$331,2,FALSE)," ")</f>
        <v xml:space="preserve"> </v>
      </c>
    </row>
    <row r="2929" spans="5:5" ht="15" customHeight="1" x14ac:dyDescent="0.3">
      <c r="E2929" s="124" t="str">
        <f>IFERROR(VLOOKUP(C2929,'Base de donnée articles'!$B$8:$C$331,2,FALSE)," ")</f>
        <v xml:space="preserve"> </v>
      </c>
    </row>
    <row r="2930" spans="5:5" ht="15" customHeight="1" x14ac:dyDescent="0.3">
      <c r="E2930" s="124" t="str">
        <f>IFERROR(VLOOKUP(C2930,'Base de donnée articles'!$B$8:$C$331,2,FALSE)," ")</f>
        <v xml:space="preserve"> </v>
      </c>
    </row>
    <row r="2931" spans="5:5" ht="15" customHeight="1" x14ac:dyDescent="0.3">
      <c r="E2931" s="124" t="str">
        <f>IFERROR(VLOOKUP(C2931,'Base de donnée articles'!$B$8:$C$331,2,FALSE)," ")</f>
        <v xml:space="preserve"> </v>
      </c>
    </row>
    <row r="2932" spans="5:5" ht="15" customHeight="1" x14ac:dyDescent="0.3">
      <c r="E2932" s="124" t="str">
        <f>IFERROR(VLOOKUP(C2932,'Base de donnée articles'!$B$8:$C$331,2,FALSE)," ")</f>
        <v xml:space="preserve"> </v>
      </c>
    </row>
    <row r="2933" spans="5:5" ht="15" customHeight="1" x14ac:dyDescent="0.3">
      <c r="E2933" s="124" t="str">
        <f>IFERROR(VLOOKUP(C2933,'Base de donnée articles'!$B$8:$C$331,2,FALSE)," ")</f>
        <v xml:space="preserve"> </v>
      </c>
    </row>
    <row r="2934" spans="5:5" ht="15" customHeight="1" x14ac:dyDescent="0.3">
      <c r="E2934" s="124" t="str">
        <f>IFERROR(VLOOKUP(C2934,'Base de donnée articles'!$B$8:$C$331,2,FALSE)," ")</f>
        <v xml:space="preserve"> </v>
      </c>
    </row>
    <row r="2935" spans="5:5" ht="15" customHeight="1" x14ac:dyDescent="0.3">
      <c r="E2935" s="124" t="str">
        <f>IFERROR(VLOOKUP(C2935,'Base de donnée articles'!$B$8:$C$331,2,FALSE)," ")</f>
        <v xml:space="preserve"> </v>
      </c>
    </row>
    <row r="2936" spans="5:5" ht="15" customHeight="1" x14ac:dyDescent="0.3">
      <c r="E2936" s="124" t="str">
        <f>IFERROR(VLOOKUP(C2936,'Base de donnée articles'!$B$8:$C$331,2,FALSE)," ")</f>
        <v xml:space="preserve"> </v>
      </c>
    </row>
    <row r="2937" spans="5:5" ht="15" customHeight="1" x14ac:dyDescent="0.3">
      <c r="E2937" s="124" t="str">
        <f>IFERROR(VLOOKUP(C2937,'Base de donnée articles'!$B$8:$C$331,2,FALSE)," ")</f>
        <v xml:space="preserve"> </v>
      </c>
    </row>
    <row r="2938" spans="5:5" ht="15" customHeight="1" x14ac:dyDescent="0.3">
      <c r="E2938" s="124" t="str">
        <f>IFERROR(VLOOKUP(C2938,'Base de donnée articles'!$B$8:$C$331,2,FALSE)," ")</f>
        <v xml:space="preserve"> </v>
      </c>
    </row>
    <row r="2939" spans="5:5" ht="15" customHeight="1" x14ac:dyDescent="0.3">
      <c r="E2939" s="124" t="str">
        <f>IFERROR(VLOOKUP(C2939,'Base de donnée articles'!$B$8:$C$331,2,FALSE)," ")</f>
        <v xml:space="preserve"> </v>
      </c>
    </row>
    <row r="2940" spans="5:5" ht="15" customHeight="1" x14ac:dyDescent="0.3">
      <c r="E2940" s="124" t="str">
        <f>IFERROR(VLOOKUP(C2940,'Base de donnée articles'!$B$8:$C$331,2,FALSE)," ")</f>
        <v xml:space="preserve"> </v>
      </c>
    </row>
    <row r="2941" spans="5:5" ht="15" customHeight="1" x14ac:dyDescent="0.3">
      <c r="E2941" s="124" t="str">
        <f>IFERROR(VLOOKUP(C2941,'Base de donnée articles'!$B$8:$C$331,2,FALSE)," ")</f>
        <v xml:space="preserve"> </v>
      </c>
    </row>
    <row r="2942" spans="5:5" ht="15" customHeight="1" x14ac:dyDescent="0.3">
      <c r="E2942" s="124" t="str">
        <f>IFERROR(VLOOKUP(C2942,'Base de donnée articles'!$B$8:$C$331,2,FALSE)," ")</f>
        <v xml:space="preserve"> </v>
      </c>
    </row>
    <row r="2943" spans="5:5" ht="15" customHeight="1" x14ac:dyDescent="0.3">
      <c r="E2943" s="124" t="str">
        <f>IFERROR(VLOOKUP(C2943,'Base de donnée articles'!$B$8:$C$331,2,FALSE)," ")</f>
        <v xml:space="preserve"> </v>
      </c>
    </row>
    <row r="2944" spans="5:5" ht="15" customHeight="1" x14ac:dyDescent="0.3">
      <c r="E2944" s="124" t="str">
        <f>IFERROR(VLOOKUP(C2944,'Base de donnée articles'!$B$8:$C$331,2,FALSE)," ")</f>
        <v xml:space="preserve"> </v>
      </c>
    </row>
    <row r="2945" spans="5:5" ht="15" customHeight="1" x14ac:dyDescent="0.3">
      <c r="E2945" s="124" t="str">
        <f>IFERROR(VLOOKUP(C2945,'Base de donnée articles'!$B$8:$C$331,2,FALSE)," ")</f>
        <v xml:space="preserve"> </v>
      </c>
    </row>
    <row r="2946" spans="5:5" ht="15" customHeight="1" x14ac:dyDescent="0.3">
      <c r="E2946" s="124" t="str">
        <f>IFERROR(VLOOKUP(C2946,'Base de donnée articles'!$B$8:$C$331,2,FALSE)," ")</f>
        <v xml:space="preserve"> </v>
      </c>
    </row>
    <row r="2947" spans="5:5" ht="15" customHeight="1" x14ac:dyDescent="0.3">
      <c r="E2947" s="124" t="str">
        <f>IFERROR(VLOOKUP(C2947,'Base de donnée articles'!$B$8:$C$331,2,FALSE)," ")</f>
        <v xml:space="preserve"> </v>
      </c>
    </row>
    <row r="2948" spans="5:5" ht="15" customHeight="1" x14ac:dyDescent="0.3">
      <c r="E2948" s="124" t="str">
        <f>IFERROR(VLOOKUP(C2948,'Base de donnée articles'!$B$8:$C$331,2,FALSE)," ")</f>
        <v xml:space="preserve"> </v>
      </c>
    </row>
    <row r="2949" spans="5:5" ht="15" customHeight="1" x14ac:dyDescent="0.3">
      <c r="E2949" s="124" t="str">
        <f>IFERROR(VLOOKUP(C2949,'Base de donnée articles'!$B$8:$C$331,2,FALSE)," ")</f>
        <v xml:space="preserve"> </v>
      </c>
    </row>
    <row r="2950" spans="5:5" ht="15" customHeight="1" x14ac:dyDescent="0.3">
      <c r="E2950" s="124" t="str">
        <f>IFERROR(VLOOKUP(C2950,'Base de donnée articles'!$B$8:$C$331,2,FALSE)," ")</f>
        <v xml:space="preserve"> </v>
      </c>
    </row>
    <row r="2951" spans="5:5" ht="15" customHeight="1" x14ac:dyDescent="0.3">
      <c r="E2951" s="124" t="str">
        <f>IFERROR(VLOOKUP(C2951,'Base de donnée articles'!$B$8:$C$331,2,FALSE)," ")</f>
        <v xml:space="preserve"> </v>
      </c>
    </row>
    <row r="2952" spans="5:5" ht="15" customHeight="1" x14ac:dyDescent="0.3">
      <c r="E2952" s="124" t="str">
        <f>IFERROR(VLOOKUP(C2952,'Base de donnée articles'!$B$8:$C$331,2,FALSE)," ")</f>
        <v xml:space="preserve"> </v>
      </c>
    </row>
    <row r="2953" spans="5:5" ht="15" customHeight="1" x14ac:dyDescent="0.3">
      <c r="E2953" s="124" t="str">
        <f>IFERROR(VLOOKUP(C2953,'Base de donnée articles'!$B$8:$C$331,2,FALSE)," ")</f>
        <v xml:space="preserve"> </v>
      </c>
    </row>
    <row r="2954" spans="5:5" ht="15" customHeight="1" x14ac:dyDescent="0.3">
      <c r="E2954" s="124" t="str">
        <f>IFERROR(VLOOKUP(C2954,'Base de donnée articles'!$B$8:$C$331,2,FALSE)," ")</f>
        <v xml:space="preserve"> </v>
      </c>
    </row>
    <row r="2955" spans="5:5" ht="15" customHeight="1" x14ac:dyDescent="0.3">
      <c r="E2955" s="124" t="str">
        <f>IFERROR(VLOOKUP(C2955,'Base de donnée articles'!$B$8:$C$331,2,FALSE)," ")</f>
        <v xml:space="preserve"> </v>
      </c>
    </row>
    <row r="2956" spans="5:5" ht="15" customHeight="1" x14ac:dyDescent="0.3">
      <c r="E2956" s="124" t="str">
        <f>IFERROR(VLOOKUP(C2956,'Base de donnée articles'!$B$8:$C$331,2,FALSE)," ")</f>
        <v xml:space="preserve"> </v>
      </c>
    </row>
    <row r="2957" spans="5:5" ht="15" customHeight="1" x14ac:dyDescent="0.3">
      <c r="E2957" s="124" t="str">
        <f>IFERROR(VLOOKUP(C2957,'Base de donnée articles'!$B$8:$C$331,2,FALSE)," ")</f>
        <v xml:space="preserve"> </v>
      </c>
    </row>
    <row r="2958" spans="5:5" ht="15" customHeight="1" x14ac:dyDescent="0.3">
      <c r="E2958" s="124" t="str">
        <f>IFERROR(VLOOKUP(C2958,'Base de donnée articles'!$B$8:$C$331,2,FALSE)," ")</f>
        <v xml:space="preserve"> </v>
      </c>
    </row>
    <row r="2959" spans="5:5" ht="15" customHeight="1" x14ac:dyDescent="0.3">
      <c r="E2959" s="124" t="str">
        <f>IFERROR(VLOOKUP(C2959,'Base de donnée articles'!$B$8:$C$331,2,FALSE)," ")</f>
        <v xml:space="preserve"> </v>
      </c>
    </row>
    <row r="2960" spans="5:5" ht="15" customHeight="1" x14ac:dyDescent="0.3">
      <c r="E2960" s="124" t="str">
        <f>IFERROR(VLOOKUP(C2960,'Base de donnée articles'!$B$8:$C$331,2,FALSE)," ")</f>
        <v xml:space="preserve"> </v>
      </c>
    </row>
    <row r="2961" spans="5:5" ht="15" customHeight="1" x14ac:dyDescent="0.3">
      <c r="E2961" s="124" t="str">
        <f>IFERROR(VLOOKUP(C2961,'Base de donnée articles'!$B$8:$C$331,2,FALSE)," ")</f>
        <v xml:space="preserve"> </v>
      </c>
    </row>
    <row r="2962" spans="5:5" ht="15" customHeight="1" x14ac:dyDescent="0.3">
      <c r="E2962" s="124" t="str">
        <f>IFERROR(VLOOKUP(C2962,'Base de donnée articles'!$B$8:$C$331,2,FALSE)," ")</f>
        <v xml:space="preserve"> </v>
      </c>
    </row>
    <row r="2963" spans="5:5" ht="15" customHeight="1" x14ac:dyDescent="0.3">
      <c r="E2963" s="124" t="str">
        <f>IFERROR(VLOOKUP(C2963,'Base de donnée articles'!$B$8:$C$331,2,FALSE)," ")</f>
        <v xml:space="preserve"> </v>
      </c>
    </row>
    <row r="2964" spans="5:5" ht="15" customHeight="1" x14ac:dyDescent="0.3">
      <c r="E2964" s="124" t="str">
        <f>IFERROR(VLOOKUP(C2964,'Base de donnée articles'!$B$8:$C$331,2,FALSE)," ")</f>
        <v xml:space="preserve"> </v>
      </c>
    </row>
    <row r="2965" spans="5:5" ht="15" customHeight="1" x14ac:dyDescent="0.3">
      <c r="E2965" s="124" t="str">
        <f>IFERROR(VLOOKUP(C2965,'Base de donnée articles'!$B$8:$C$331,2,FALSE)," ")</f>
        <v xml:space="preserve"> </v>
      </c>
    </row>
    <row r="2966" spans="5:5" ht="15" customHeight="1" x14ac:dyDescent="0.3">
      <c r="E2966" s="124" t="str">
        <f>IFERROR(VLOOKUP(C2966,'Base de donnée articles'!$B$8:$C$331,2,FALSE)," ")</f>
        <v xml:space="preserve"> </v>
      </c>
    </row>
    <row r="2967" spans="5:5" ht="15" customHeight="1" x14ac:dyDescent="0.3">
      <c r="E2967" s="124" t="str">
        <f>IFERROR(VLOOKUP(C2967,'Base de donnée articles'!$B$8:$C$331,2,FALSE)," ")</f>
        <v xml:space="preserve"> </v>
      </c>
    </row>
    <row r="2968" spans="5:5" ht="15" customHeight="1" x14ac:dyDescent="0.3">
      <c r="E2968" s="124" t="str">
        <f>IFERROR(VLOOKUP(C2968,'Base de donnée articles'!$B$8:$C$331,2,FALSE)," ")</f>
        <v xml:space="preserve"> </v>
      </c>
    </row>
    <row r="2969" spans="5:5" ht="15" customHeight="1" x14ac:dyDescent="0.3">
      <c r="E2969" s="124" t="str">
        <f>IFERROR(VLOOKUP(C2969,'Base de donnée articles'!$B$8:$C$331,2,FALSE)," ")</f>
        <v xml:space="preserve"> </v>
      </c>
    </row>
    <row r="2970" spans="5:5" ht="15" customHeight="1" x14ac:dyDescent="0.3">
      <c r="E2970" s="124" t="str">
        <f>IFERROR(VLOOKUP(C2970,'Base de donnée articles'!$B$8:$C$331,2,FALSE)," ")</f>
        <v xml:space="preserve"> </v>
      </c>
    </row>
    <row r="2971" spans="5:5" ht="15" customHeight="1" x14ac:dyDescent="0.3">
      <c r="E2971" s="124" t="str">
        <f>IFERROR(VLOOKUP(C2971,'Base de donnée articles'!$B$8:$C$331,2,FALSE)," ")</f>
        <v xml:space="preserve"> </v>
      </c>
    </row>
    <row r="2972" spans="5:5" ht="15" customHeight="1" x14ac:dyDescent="0.3">
      <c r="E2972" s="124" t="str">
        <f>IFERROR(VLOOKUP(C2972,'Base de donnée articles'!$B$8:$C$331,2,FALSE)," ")</f>
        <v xml:space="preserve"> </v>
      </c>
    </row>
    <row r="2973" spans="5:5" ht="15" customHeight="1" x14ac:dyDescent="0.3">
      <c r="E2973" s="124" t="str">
        <f>IFERROR(VLOOKUP(C2973,'Base de donnée articles'!$B$8:$C$331,2,FALSE)," ")</f>
        <v xml:space="preserve"> </v>
      </c>
    </row>
    <row r="2974" spans="5:5" ht="15" customHeight="1" x14ac:dyDescent="0.3">
      <c r="E2974" s="124" t="str">
        <f>IFERROR(VLOOKUP(C2974,'Base de donnée articles'!$B$8:$C$331,2,FALSE)," ")</f>
        <v xml:space="preserve"> </v>
      </c>
    </row>
    <row r="2975" spans="5:5" ht="15" customHeight="1" x14ac:dyDescent="0.3">
      <c r="E2975" s="124" t="str">
        <f>IFERROR(VLOOKUP(C2975,'Base de donnée articles'!$B$8:$C$331,2,FALSE)," ")</f>
        <v xml:space="preserve"> </v>
      </c>
    </row>
    <row r="2976" spans="5:5" ht="15" customHeight="1" x14ac:dyDescent="0.3">
      <c r="E2976" s="124" t="str">
        <f>IFERROR(VLOOKUP(C2976,'Base de donnée articles'!$B$8:$C$331,2,FALSE)," ")</f>
        <v xml:space="preserve"> </v>
      </c>
    </row>
    <row r="2977" spans="5:5" ht="15" customHeight="1" x14ac:dyDescent="0.3">
      <c r="E2977" s="124" t="str">
        <f>IFERROR(VLOOKUP(C2977,'Base de donnée articles'!$B$8:$C$331,2,FALSE)," ")</f>
        <v xml:space="preserve"> </v>
      </c>
    </row>
    <row r="2978" spans="5:5" ht="15" customHeight="1" x14ac:dyDescent="0.3">
      <c r="E2978" s="124" t="str">
        <f>IFERROR(VLOOKUP(C2978,'Base de donnée articles'!$B$8:$C$331,2,FALSE)," ")</f>
        <v xml:space="preserve"> </v>
      </c>
    </row>
    <row r="2979" spans="5:5" ht="15" customHeight="1" x14ac:dyDescent="0.3">
      <c r="E2979" s="124" t="str">
        <f>IFERROR(VLOOKUP(C2979,'Base de donnée articles'!$B$8:$C$331,2,FALSE)," ")</f>
        <v xml:space="preserve"> </v>
      </c>
    </row>
    <row r="2980" spans="5:5" ht="15" customHeight="1" x14ac:dyDescent="0.3">
      <c r="E2980" s="124" t="str">
        <f>IFERROR(VLOOKUP(C2980,'Base de donnée articles'!$B$8:$C$331,2,FALSE)," ")</f>
        <v xml:space="preserve"> </v>
      </c>
    </row>
    <row r="2981" spans="5:5" ht="15" customHeight="1" x14ac:dyDescent="0.3">
      <c r="E2981" s="124" t="str">
        <f>IFERROR(VLOOKUP(C2981,'Base de donnée articles'!$B$8:$C$331,2,FALSE)," ")</f>
        <v xml:space="preserve"> </v>
      </c>
    </row>
    <row r="2982" spans="5:5" ht="15" customHeight="1" x14ac:dyDescent="0.3">
      <c r="E2982" s="124" t="str">
        <f>IFERROR(VLOOKUP(C2982,'Base de donnée articles'!$B$8:$C$331,2,FALSE)," ")</f>
        <v xml:space="preserve"> </v>
      </c>
    </row>
    <row r="2983" spans="5:5" ht="15" customHeight="1" x14ac:dyDescent="0.3">
      <c r="E2983" s="124" t="str">
        <f>IFERROR(VLOOKUP(C2983,'Base de donnée articles'!$B$8:$C$331,2,FALSE)," ")</f>
        <v xml:space="preserve"> </v>
      </c>
    </row>
    <row r="2984" spans="5:5" ht="15" customHeight="1" x14ac:dyDescent="0.3">
      <c r="E2984" s="124" t="str">
        <f>IFERROR(VLOOKUP(C2984,'Base de donnée articles'!$B$8:$C$331,2,FALSE)," ")</f>
        <v xml:space="preserve"> </v>
      </c>
    </row>
    <row r="2985" spans="5:5" ht="15" customHeight="1" x14ac:dyDescent="0.3">
      <c r="E2985" s="124" t="str">
        <f>IFERROR(VLOOKUP(C2985,'Base de donnée articles'!$B$8:$C$331,2,FALSE)," ")</f>
        <v xml:space="preserve"> </v>
      </c>
    </row>
    <row r="2986" spans="5:5" ht="15" customHeight="1" x14ac:dyDescent="0.3">
      <c r="E2986" s="124" t="str">
        <f>IFERROR(VLOOKUP(C2986,'Base de donnée articles'!$B$8:$C$331,2,FALSE)," ")</f>
        <v xml:space="preserve"> </v>
      </c>
    </row>
    <row r="2987" spans="5:5" ht="15" customHeight="1" x14ac:dyDescent="0.3">
      <c r="E2987" s="124" t="str">
        <f>IFERROR(VLOOKUP(C2987,'Base de donnée articles'!$B$8:$C$331,2,FALSE)," ")</f>
        <v xml:space="preserve"> </v>
      </c>
    </row>
    <row r="2988" spans="5:5" ht="15" customHeight="1" x14ac:dyDescent="0.3">
      <c r="E2988" s="124" t="str">
        <f>IFERROR(VLOOKUP(C2988,'Base de donnée articles'!$B$8:$C$331,2,FALSE)," ")</f>
        <v xml:space="preserve"> </v>
      </c>
    </row>
    <row r="2989" spans="5:5" ht="15" customHeight="1" x14ac:dyDescent="0.3">
      <c r="E2989" s="124" t="str">
        <f>IFERROR(VLOOKUP(C2989,'Base de donnée articles'!$B$8:$C$331,2,FALSE)," ")</f>
        <v xml:space="preserve"> </v>
      </c>
    </row>
    <row r="2990" spans="5:5" ht="15" customHeight="1" x14ac:dyDescent="0.3">
      <c r="E2990" s="124" t="str">
        <f>IFERROR(VLOOKUP(C2990,'Base de donnée articles'!$B$8:$C$331,2,FALSE)," ")</f>
        <v xml:space="preserve"> </v>
      </c>
    </row>
    <row r="2991" spans="5:5" ht="15" customHeight="1" x14ac:dyDescent="0.3">
      <c r="E2991" s="124" t="str">
        <f>IFERROR(VLOOKUP(C2991,'Base de donnée articles'!$B$8:$C$331,2,FALSE)," ")</f>
        <v xml:space="preserve"> </v>
      </c>
    </row>
    <row r="2992" spans="5:5" ht="15" customHeight="1" x14ac:dyDescent="0.3">
      <c r="E2992" s="124" t="str">
        <f>IFERROR(VLOOKUP(C2992,'Base de donnée articles'!$B$8:$C$331,2,FALSE)," ")</f>
        <v xml:space="preserve"> </v>
      </c>
    </row>
    <row r="2993" spans="5:5" ht="15" customHeight="1" x14ac:dyDescent="0.3">
      <c r="E2993" s="124" t="str">
        <f>IFERROR(VLOOKUP(C2993,'Base de donnée articles'!$B$8:$C$331,2,FALSE)," ")</f>
        <v xml:space="preserve"> </v>
      </c>
    </row>
    <row r="2994" spans="5:5" ht="15" customHeight="1" x14ac:dyDescent="0.3">
      <c r="E2994" s="124" t="str">
        <f>IFERROR(VLOOKUP(C2994,'Base de donnée articles'!$B$8:$C$331,2,FALSE)," ")</f>
        <v xml:space="preserve"> </v>
      </c>
    </row>
    <row r="2995" spans="5:5" ht="15" customHeight="1" x14ac:dyDescent="0.3">
      <c r="E2995" s="124" t="str">
        <f>IFERROR(VLOOKUP(C2995,'Base de donnée articles'!$B$8:$C$331,2,FALSE)," ")</f>
        <v xml:space="preserve"> </v>
      </c>
    </row>
    <row r="2996" spans="5:5" ht="15" customHeight="1" x14ac:dyDescent="0.3">
      <c r="E2996" s="124" t="str">
        <f>IFERROR(VLOOKUP(C2996,'Base de donnée articles'!$B$8:$C$331,2,FALSE)," ")</f>
        <v xml:space="preserve"> </v>
      </c>
    </row>
    <row r="2997" spans="5:5" ht="15" customHeight="1" x14ac:dyDescent="0.3">
      <c r="E2997" s="124" t="str">
        <f>IFERROR(VLOOKUP(C2997,'Base de donnée articles'!$B$8:$C$331,2,FALSE)," ")</f>
        <v xml:space="preserve"> </v>
      </c>
    </row>
    <row r="2998" spans="5:5" ht="15" customHeight="1" x14ac:dyDescent="0.3">
      <c r="E2998" s="124" t="str">
        <f>IFERROR(VLOOKUP(C2998,'Base de donnée articles'!$B$8:$C$331,2,FALSE)," ")</f>
        <v xml:space="preserve"> </v>
      </c>
    </row>
    <row r="2999" spans="5:5" ht="15" customHeight="1" x14ac:dyDescent="0.3">
      <c r="E2999" s="124" t="str">
        <f>IFERROR(VLOOKUP(C2999,'Base de donnée articles'!$B$8:$C$331,2,FALSE)," ")</f>
        <v xml:space="preserve"> </v>
      </c>
    </row>
    <row r="3000" spans="5:5" ht="15" customHeight="1" x14ac:dyDescent="0.3">
      <c r="E3000" s="124" t="str">
        <f>IFERROR(VLOOKUP(C3000,'Base de donnée articles'!$B$8:$C$331,2,FALSE)," ")</f>
        <v xml:space="preserve"> </v>
      </c>
    </row>
    <row r="3001" spans="5:5" ht="15" customHeight="1" x14ac:dyDescent="0.3">
      <c r="E3001" s="124" t="str">
        <f>IFERROR(VLOOKUP(C3001,'Base de donnée articles'!$B$8:$C$331,2,FALSE)," ")</f>
        <v xml:space="preserve"> </v>
      </c>
    </row>
    <row r="3002" spans="5:5" ht="15" customHeight="1" x14ac:dyDescent="0.3">
      <c r="E3002" s="124" t="str">
        <f>IFERROR(VLOOKUP(C3002,'Base de donnée articles'!$B$8:$C$331,2,FALSE)," ")</f>
        <v xml:space="preserve"> </v>
      </c>
    </row>
    <row r="3003" spans="5:5" ht="15" customHeight="1" x14ac:dyDescent="0.3">
      <c r="E3003" s="124" t="str">
        <f>IFERROR(VLOOKUP(C3003,'Base de donnée articles'!$B$8:$C$331,2,FALSE)," ")</f>
        <v xml:space="preserve"> </v>
      </c>
    </row>
    <row r="3004" spans="5:5" ht="15" customHeight="1" x14ac:dyDescent="0.3">
      <c r="E3004" s="124" t="str">
        <f>IFERROR(VLOOKUP(C3004,'Base de donnée articles'!$B$8:$C$331,2,FALSE)," ")</f>
        <v xml:space="preserve"> </v>
      </c>
    </row>
    <row r="3005" spans="5:5" ht="15" customHeight="1" x14ac:dyDescent="0.3">
      <c r="E3005" s="124" t="str">
        <f>IFERROR(VLOOKUP(C3005,'Base de donnée articles'!$B$8:$C$331,2,FALSE)," ")</f>
        <v xml:space="preserve"> </v>
      </c>
    </row>
    <row r="3006" spans="5:5" ht="15" customHeight="1" x14ac:dyDescent="0.3">
      <c r="E3006" s="124" t="str">
        <f>IFERROR(VLOOKUP(C3006,'Base de donnée articles'!$B$8:$C$331,2,FALSE)," ")</f>
        <v xml:space="preserve"> </v>
      </c>
    </row>
    <row r="3007" spans="5:5" ht="15" customHeight="1" x14ac:dyDescent="0.3">
      <c r="E3007" s="124" t="str">
        <f>IFERROR(VLOOKUP(C3007,'Base de donnée articles'!$B$8:$C$331,2,FALSE)," ")</f>
        <v xml:space="preserve"> </v>
      </c>
    </row>
    <row r="3008" spans="5:5" ht="15" customHeight="1" x14ac:dyDescent="0.3">
      <c r="E3008" s="124" t="str">
        <f>IFERROR(VLOOKUP(C3008,'Base de donnée articles'!$B$8:$C$331,2,FALSE)," ")</f>
        <v xml:space="preserve"> </v>
      </c>
    </row>
    <row r="3009" spans="5:5" ht="15" customHeight="1" x14ac:dyDescent="0.3">
      <c r="E3009" s="124" t="str">
        <f>IFERROR(VLOOKUP(C3009,'Base de donnée articles'!$B$8:$C$331,2,FALSE)," ")</f>
        <v xml:space="preserve"> </v>
      </c>
    </row>
    <row r="3010" spans="5:5" ht="15" customHeight="1" x14ac:dyDescent="0.3">
      <c r="E3010" s="124" t="str">
        <f>IFERROR(VLOOKUP(C3010,'Base de donnée articles'!$B$8:$C$331,2,FALSE)," ")</f>
        <v xml:space="preserve"> </v>
      </c>
    </row>
    <row r="3011" spans="5:5" ht="15" customHeight="1" x14ac:dyDescent="0.3">
      <c r="E3011" s="124" t="str">
        <f>IFERROR(VLOOKUP(C3011,'Base de donnée articles'!$B$8:$C$331,2,FALSE)," ")</f>
        <v xml:space="preserve"> </v>
      </c>
    </row>
    <row r="3012" spans="5:5" ht="15" customHeight="1" x14ac:dyDescent="0.3">
      <c r="E3012" s="124" t="str">
        <f>IFERROR(VLOOKUP(C3012,'Base de donnée articles'!$B$8:$C$331,2,FALSE)," ")</f>
        <v xml:space="preserve"> </v>
      </c>
    </row>
    <row r="3013" spans="5:5" ht="15" customHeight="1" x14ac:dyDescent="0.3">
      <c r="E3013" s="124" t="str">
        <f>IFERROR(VLOOKUP(C3013,'Base de donnée articles'!$B$8:$C$331,2,FALSE)," ")</f>
        <v xml:space="preserve"> </v>
      </c>
    </row>
    <row r="3014" spans="5:5" ht="15" customHeight="1" x14ac:dyDescent="0.3">
      <c r="E3014" s="124" t="str">
        <f>IFERROR(VLOOKUP(C3014,'Base de donnée articles'!$B$8:$C$331,2,FALSE)," ")</f>
        <v xml:space="preserve"> </v>
      </c>
    </row>
    <row r="3015" spans="5:5" ht="15" customHeight="1" x14ac:dyDescent="0.3">
      <c r="E3015" s="124" t="str">
        <f>IFERROR(VLOOKUP(C3015,'Base de donnée articles'!$B$8:$C$331,2,FALSE)," ")</f>
        <v xml:space="preserve"> </v>
      </c>
    </row>
    <row r="3016" spans="5:5" ht="15" customHeight="1" x14ac:dyDescent="0.3">
      <c r="E3016" s="124" t="str">
        <f>IFERROR(VLOOKUP(C3016,'Base de donnée articles'!$B$8:$C$331,2,FALSE)," ")</f>
        <v xml:space="preserve"> </v>
      </c>
    </row>
    <row r="3017" spans="5:5" ht="15" customHeight="1" x14ac:dyDescent="0.3">
      <c r="E3017" s="124" t="str">
        <f>IFERROR(VLOOKUP(C3017,'Base de donnée articles'!$B$8:$C$331,2,FALSE)," ")</f>
        <v xml:space="preserve"> </v>
      </c>
    </row>
    <row r="3018" spans="5:5" ht="15" customHeight="1" x14ac:dyDescent="0.3">
      <c r="E3018" s="124" t="str">
        <f>IFERROR(VLOOKUP(C3018,'Base de donnée articles'!$B$8:$C$331,2,FALSE)," ")</f>
        <v xml:space="preserve"> </v>
      </c>
    </row>
    <row r="3019" spans="5:5" ht="15" customHeight="1" x14ac:dyDescent="0.3">
      <c r="E3019" s="124" t="str">
        <f>IFERROR(VLOOKUP(C3019,'Base de donnée articles'!$B$8:$C$331,2,FALSE)," ")</f>
        <v xml:space="preserve"> </v>
      </c>
    </row>
    <row r="3020" spans="5:5" ht="15" customHeight="1" x14ac:dyDescent="0.3">
      <c r="E3020" s="124" t="str">
        <f>IFERROR(VLOOKUP(C3020,'Base de donnée articles'!$B$8:$C$331,2,FALSE)," ")</f>
        <v xml:space="preserve"> </v>
      </c>
    </row>
    <row r="3021" spans="5:5" ht="15" customHeight="1" x14ac:dyDescent="0.3">
      <c r="E3021" s="124" t="str">
        <f>IFERROR(VLOOKUP(C3021,'Base de donnée articles'!$B$8:$C$331,2,FALSE)," ")</f>
        <v xml:space="preserve"> </v>
      </c>
    </row>
    <row r="3022" spans="5:5" ht="15" customHeight="1" x14ac:dyDescent="0.3">
      <c r="E3022" s="18" t="str">
        <f>IFERROR(VLOOKUP(C3022,'Base de donnée articles'!$B$8:$C$331,2,FALSE)," ")</f>
        <v xml:space="preserve"> </v>
      </c>
    </row>
    <row r="3023" spans="5:5" ht="15" customHeight="1" x14ac:dyDescent="0.3">
      <c r="E3023" s="18" t="str">
        <f>IFERROR(VLOOKUP(C3023,'Base de donnée articles'!$B$8:$C$331,2,FALSE)," ")</f>
        <v xml:space="preserve"> </v>
      </c>
    </row>
    <row r="3024" spans="5:5" ht="15" customHeight="1" x14ac:dyDescent="0.3">
      <c r="E3024" s="18" t="str">
        <f>IFERROR(VLOOKUP(C3024,'Base de donnée articles'!$B$8:$C$331,2,FALSE)," ")</f>
        <v xml:space="preserve"> </v>
      </c>
    </row>
    <row r="3025" spans="5:5" ht="15" customHeight="1" x14ac:dyDescent="0.3">
      <c r="E3025" s="18" t="str">
        <f>IFERROR(VLOOKUP(C3025,'Base de donnée articles'!$B$8:$C$331,2,FALSE)," ")</f>
        <v xml:space="preserve"> </v>
      </c>
    </row>
    <row r="3736" spans="7:7" ht="15" customHeight="1" x14ac:dyDescent="0.3">
      <c r="G3736">
        <v>0</v>
      </c>
    </row>
  </sheetData>
  <dataConsolidate/>
  <mergeCells count="3">
    <mergeCell ref="L10:O10"/>
    <mergeCell ref="L13:N13"/>
    <mergeCell ref="L14:N14"/>
  </mergeCells>
  <conditionalFormatting sqref="D2 C1798 E1798 E2086:E2155 E2159:E2160 E2162:E2179 E2183:E2282 E2284:E2292 E2353:E2355 E2359:E2375 E2377:E2381 E2383:E2388 E2392:E3025">
    <cfRule type="notContainsBlanks" dxfId="964" priority="762">
      <formula>LEN(TRIM(C2))&gt;0</formula>
    </cfRule>
  </conditionalFormatting>
  <conditionalFormatting sqref="C6">
    <cfRule type="notContainsBlanks" dxfId="963" priority="763">
      <formula>LEN(TRIM(C6))&gt;0</formula>
    </cfRule>
  </conditionalFormatting>
  <conditionalFormatting sqref="C8">
    <cfRule type="notContainsBlanks" dxfId="962" priority="764">
      <formula>LEN(TRIM(C8))&gt;0</formula>
    </cfRule>
  </conditionalFormatting>
  <conditionalFormatting sqref="C7">
    <cfRule type="notContainsBlanks" dxfId="961" priority="765">
      <formula>LEN(TRIM(C7))&gt;0</formula>
    </cfRule>
  </conditionalFormatting>
  <conditionalFormatting sqref="C28">
    <cfRule type="notContainsBlanks" dxfId="960" priority="766">
      <formula>LEN(TRIM(C28))&gt;0</formula>
    </cfRule>
  </conditionalFormatting>
  <conditionalFormatting sqref="C51">
    <cfRule type="notContainsBlanks" dxfId="959" priority="767">
      <formula>LEN(TRIM(C51))&gt;0</formula>
    </cfRule>
  </conditionalFormatting>
  <conditionalFormatting sqref="C65:C67">
    <cfRule type="notContainsBlanks" dxfId="958" priority="768">
      <formula>LEN(TRIM(C65))&gt;0</formula>
    </cfRule>
  </conditionalFormatting>
  <conditionalFormatting sqref="E86">
    <cfRule type="notContainsBlanks" dxfId="957" priority="769">
      <formula>LEN(TRIM(E86))&gt;0</formula>
    </cfRule>
  </conditionalFormatting>
  <conditionalFormatting sqref="C3">
    <cfRule type="notContainsBlanks" dxfId="956" priority="770">
      <formula>LEN(TRIM(C3))&gt;0</formula>
    </cfRule>
  </conditionalFormatting>
  <conditionalFormatting sqref="C4">
    <cfRule type="notContainsBlanks" dxfId="955" priority="771">
      <formula>LEN(TRIM(C4))&gt;0</formula>
    </cfRule>
  </conditionalFormatting>
  <conditionalFormatting sqref="C5">
    <cfRule type="notContainsBlanks" dxfId="954" priority="772">
      <formula>LEN(TRIM(C5))&gt;0</formula>
    </cfRule>
  </conditionalFormatting>
  <conditionalFormatting sqref="C9">
    <cfRule type="notContainsBlanks" dxfId="953" priority="773">
      <formula>LEN(TRIM(C9))&gt;0</formula>
    </cfRule>
  </conditionalFormatting>
  <conditionalFormatting sqref="D10">
    <cfRule type="notContainsBlanks" dxfId="952" priority="774">
      <formula>LEN(TRIM(D10))&gt;0</formula>
    </cfRule>
  </conditionalFormatting>
  <conditionalFormatting sqref="C13">
    <cfRule type="notContainsBlanks" dxfId="951" priority="775">
      <formula>LEN(TRIM(C13))&gt;0</formula>
    </cfRule>
  </conditionalFormatting>
  <conditionalFormatting sqref="D14">
    <cfRule type="notContainsBlanks" dxfId="950" priority="776" stopIfTrue="1">
      <formula>LEN(TRIM(D14))&gt;0</formula>
    </cfRule>
  </conditionalFormatting>
  <conditionalFormatting sqref="C16">
    <cfRule type="notContainsBlanks" dxfId="949" priority="777">
      <formula>LEN(TRIM(C16))&gt;0</formula>
    </cfRule>
  </conditionalFormatting>
  <conditionalFormatting sqref="C17">
    <cfRule type="notContainsBlanks" dxfId="948" priority="778">
      <formula>LEN(TRIM(C17))&gt;0</formula>
    </cfRule>
  </conditionalFormatting>
  <conditionalFormatting sqref="C15">
    <cfRule type="notContainsBlanks" dxfId="947" priority="779">
      <formula>LEN(TRIM(C15))&gt;0</formula>
    </cfRule>
  </conditionalFormatting>
  <conditionalFormatting sqref="C21">
    <cfRule type="notContainsBlanks" dxfId="946" priority="780">
      <formula>LEN(TRIM(C21))&gt;0</formula>
    </cfRule>
  </conditionalFormatting>
  <conditionalFormatting sqref="C37">
    <cfRule type="notContainsBlanks" dxfId="945" priority="781">
      <formula>LEN(TRIM(C37))&gt;0</formula>
    </cfRule>
  </conditionalFormatting>
  <conditionalFormatting sqref="C38">
    <cfRule type="notContainsBlanks" dxfId="944" priority="782">
      <formula>LEN(TRIM(C38))&gt;0</formula>
    </cfRule>
  </conditionalFormatting>
  <conditionalFormatting sqref="C39">
    <cfRule type="notContainsBlanks" dxfId="943" priority="783">
      <formula>LEN(TRIM(C39))&gt;0</formula>
    </cfRule>
  </conditionalFormatting>
  <conditionalFormatting sqref="C42">
    <cfRule type="notContainsBlanks" dxfId="942" priority="784">
      <formula>LEN(TRIM(C42))&gt;0</formula>
    </cfRule>
  </conditionalFormatting>
  <conditionalFormatting sqref="D43">
    <cfRule type="notContainsBlanks" dxfId="941" priority="785" stopIfTrue="1">
      <formula>LEN(TRIM(D43))&gt;0</formula>
    </cfRule>
  </conditionalFormatting>
  <conditionalFormatting sqref="C47">
    <cfRule type="notContainsBlanks" dxfId="940" priority="786">
      <formula>LEN(TRIM(C47))&gt;0</formula>
    </cfRule>
  </conditionalFormatting>
  <conditionalFormatting sqref="C48">
    <cfRule type="notContainsBlanks" dxfId="939" priority="787">
      <formula>LEN(TRIM(C48))&gt;0</formula>
    </cfRule>
  </conditionalFormatting>
  <conditionalFormatting sqref="C49">
    <cfRule type="notContainsBlanks" dxfId="938" priority="788">
      <formula>LEN(TRIM(C49))&gt;0</formula>
    </cfRule>
  </conditionalFormatting>
  <conditionalFormatting sqref="C50">
    <cfRule type="notContainsBlanks" dxfId="937" priority="789">
      <formula>LEN(TRIM(C50))&gt;0</formula>
    </cfRule>
  </conditionalFormatting>
  <conditionalFormatting sqref="C69">
    <cfRule type="notContainsBlanks" dxfId="936" priority="790">
      <formula>LEN(TRIM(C69))&gt;0</formula>
    </cfRule>
  </conditionalFormatting>
  <conditionalFormatting sqref="C70">
    <cfRule type="notContainsBlanks" dxfId="935" priority="791">
      <formula>LEN(TRIM(C70))&gt;0</formula>
    </cfRule>
  </conditionalFormatting>
  <conditionalFormatting sqref="C71">
    <cfRule type="notContainsBlanks" dxfId="934" priority="792">
      <formula>LEN(TRIM(C71))&gt;0</formula>
    </cfRule>
  </conditionalFormatting>
  <conditionalFormatting sqref="C72">
    <cfRule type="notContainsBlanks" dxfId="933" priority="793">
      <formula>LEN(TRIM(C72))&gt;0</formula>
    </cfRule>
  </conditionalFormatting>
  <conditionalFormatting sqref="C73">
    <cfRule type="notContainsBlanks" dxfId="932" priority="794">
      <formula>LEN(TRIM(C73))&gt;0</formula>
    </cfRule>
  </conditionalFormatting>
  <conditionalFormatting sqref="C106">
    <cfRule type="notContainsBlanks" dxfId="931" priority="795">
      <formula>LEN(TRIM(C106))&gt;0</formula>
    </cfRule>
  </conditionalFormatting>
  <conditionalFormatting sqref="C105">
    <cfRule type="notContainsBlanks" dxfId="930" priority="796">
      <formula>LEN(TRIM(C105))&gt;0</formula>
    </cfRule>
  </conditionalFormatting>
  <conditionalFormatting sqref="C108">
    <cfRule type="notContainsBlanks" dxfId="929" priority="797">
      <formula>LEN(TRIM(C108))&gt;0</formula>
    </cfRule>
  </conditionalFormatting>
  <conditionalFormatting sqref="C109">
    <cfRule type="notContainsBlanks" dxfId="928" priority="798">
      <formula>LEN(TRIM(C109))&gt;0</formula>
    </cfRule>
  </conditionalFormatting>
  <conditionalFormatting sqref="C110">
    <cfRule type="notContainsBlanks" dxfId="927" priority="799">
      <formula>LEN(TRIM(C110))&gt;0</formula>
    </cfRule>
  </conditionalFormatting>
  <conditionalFormatting sqref="C111">
    <cfRule type="notContainsBlanks" dxfId="926" priority="800">
      <formula>LEN(TRIM(C111))&gt;0</formula>
    </cfRule>
  </conditionalFormatting>
  <conditionalFormatting sqref="C112">
    <cfRule type="notContainsBlanks" dxfId="925" priority="801">
      <formula>LEN(TRIM(C112))&gt;0</formula>
    </cfRule>
  </conditionalFormatting>
  <conditionalFormatting sqref="C121">
    <cfRule type="notContainsBlanks" dxfId="924" priority="802">
      <formula>LEN(TRIM(C121))&gt;0</formula>
    </cfRule>
  </conditionalFormatting>
  <conditionalFormatting sqref="C136">
    <cfRule type="notContainsBlanks" dxfId="923" priority="803">
      <formula>LEN(TRIM(C136))&gt;0</formula>
    </cfRule>
  </conditionalFormatting>
  <conditionalFormatting sqref="C141">
    <cfRule type="notContainsBlanks" dxfId="922" priority="804">
      <formula>LEN(TRIM(C141))&gt;0</formula>
    </cfRule>
  </conditionalFormatting>
  <conditionalFormatting sqref="C142">
    <cfRule type="notContainsBlanks" dxfId="921" priority="805">
      <formula>LEN(TRIM(C142))&gt;0</formula>
    </cfRule>
  </conditionalFormatting>
  <conditionalFormatting sqref="C143">
    <cfRule type="notContainsBlanks" dxfId="920" priority="806">
      <formula>LEN(TRIM(C143))&gt;0</formula>
    </cfRule>
  </conditionalFormatting>
  <conditionalFormatting sqref="C152">
    <cfRule type="notContainsBlanks" dxfId="919" priority="807">
      <formula>LEN(TRIM(C152))&gt;0</formula>
    </cfRule>
  </conditionalFormatting>
  <conditionalFormatting sqref="C153">
    <cfRule type="notContainsBlanks" dxfId="918" priority="808">
      <formula>LEN(TRIM(C153))&gt;0</formula>
    </cfRule>
  </conditionalFormatting>
  <conditionalFormatting sqref="C158">
    <cfRule type="notContainsBlanks" dxfId="917" priority="809">
      <formula>LEN(TRIM(C158))&gt;0</formula>
    </cfRule>
  </conditionalFormatting>
  <conditionalFormatting sqref="C164">
    <cfRule type="notContainsBlanks" dxfId="916" priority="810">
      <formula>LEN(TRIM(C164))&gt;0</formula>
    </cfRule>
  </conditionalFormatting>
  <conditionalFormatting sqref="C167">
    <cfRule type="notContainsBlanks" dxfId="915" priority="811">
      <formula>LEN(TRIM(C167))&gt;0</formula>
    </cfRule>
  </conditionalFormatting>
  <conditionalFormatting sqref="C177">
    <cfRule type="notContainsBlanks" dxfId="914" priority="812">
      <formula>LEN(TRIM(C177))&gt;0</formula>
    </cfRule>
  </conditionalFormatting>
  <conditionalFormatting sqref="C180">
    <cfRule type="notContainsBlanks" dxfId="913" priority="813">
      <formula>LEN(TRIM(C180))&gt;0</formula>
    </cfRule>
  </conditionalFormatting>
  <conditionalFormatting sqref="C181">
    <cfRule type="notContainsBlanks" dxfId="912" priority="814">
      <formula>LEN(TRIM(C181))&gt;0</formula>
    </cfRule>
  </conditionalFormatting>
  <conditionalFormatting sqref="C192">
    <cfRule type="notContainsBlanks" dxfId="911" priority="815">
      <formula>LEN(TRIM(C192))&gt;0</formula>
    </cfRule>
  </conditionalFormatting>
  <conditionalFormatting sqref="C200:C201">
    <cfRule type="notContainsBlanks" dxfId="910" priority="816">
      <formula>LEN(TRIM(C200))&gt;0</formula>
    </cfRule>
  </conditionalFormatting>
  <conditionalFormatting sqref="C222">
    <cfRule type="notContainsBlanks" dxfId="909" priority="817">
      <formula>LEN(TRIM(C222))&gt;0</formula>
    </cfRule>
  </conditionalFormatting>
  <conditionalFormatting sqref="C223">
    <cfRule type="notContainsBlanks" dxfId="908" priority="818">
      <formula>LEN(TRIM(C223))&gt;0</formula>
    </cfRule>
  </conditionalFormatting>
  <conditionalFormatting sqref="C232">
    <cfRule type="notContainsBlanks" dxfId="907" priority="819">
      <formula>LEN(TRIM(C232))&gt;0</formula>
    </cfRule>
  </conditionalFormatting>
  <conditionalFormatting sqref="C241">
    <cfRule type="notContainsBlanks" dxfId="906" priority="820">
      <formula>LEN(TRIM(C241))&gt;0</formula>
    </cfRule>
  </conditionalFormatting>
  <conditionalFormatting sqref="C243">
    <cfRule type="notContainsBlanks" dxfId="905" priority="821">
      <formula>LEN(TRIM(C243))&gt;0</formula>
    </cfRule>
  </conditionalFormatting>
  <conditionalFormatting sqref="C244">
    <cfRule type="notContainsBlanks" dxfId="904" priority="822">
      <formula>LEN(TRIM(C244))&gt;0</formula>
    </cfRule>
  </conditionalFormatting>
  <conditionalFormatting sqref="C245">
    <cfRule type="notContainsBlanks" dxfId="903" priority="823">
      <formula>LEN(TRIM(C245))&gt;0</formula>
    </cfRule>
  </conditionalFormatting>
  <conditionalFormatting sqref="C259">
    <cfRule type="notContainsBlanks" dxfId="902" priority="824">
      <formula>LEN(TRIM(C259))&gt;0</formula>
    </cfRule>
  </conditionalFormatting>
  <conditionalFormatting sqref="C261">
    <cfRule type="notContainsBlanks" dxfId="901" priority="825">
      <formula>LEN(TRIM(C261))&gt;0</formula>
    </cfRule>
  </conditionalFormatting>
  <conditionalFormatting sqref="C273">
    <cfRule type="notContainsBlanks" dxfId="900" priority="826">
      <formula>LEN(TRIM(C273))&gt;0</formula>
    </cfRule>
  </conditionalFormatting>
  <conditionalFormatting sqref="C285">
    <cfRule type="notContainsBlanks" dxfId="899" priority="827">
      <formula>LEN(TRIM(C285))&gt;0</formula>
    </cfRule>
  </conditionalFormatting>
  <conditionalFormatting sqref="C286:C287">
    <cfRule type="notContainsBlanks" dxfId="898" priority="828">
      <formula>LEN(TRIM(C286))&gt;0</formula>
    </cfRule>
  </conditionalFormatting>
  <conditionalFormatting sqref="C292">
    <cfRule type="notContainsBlanks" dxfId="897" priority="829">
      <formula>LEN(TRIM(C292))&gt;0</formula>
    </cfRule>
  </conditionalFormatting>
  <conditionalFormatting sqref="C293">
    <cfRule type="notContainsBlanks" dxfId="896" priority="830">
      <formula>LEN(TRIM(C293))&gt;0</formula>
    </cfRule>
  </conditionalFormatting>
  <conditionalFormatting sqref="C307">
    <cfRule type="notContainsBlanks" dxfId="895" priority="831">
      <formula>LEN(TRIM(C307))&gt;0</formula>
    </cfRule>
  </conditionalFormatting>
  <conditionalFormatting sqref="C308">
    <cfRule type="notContainsBlanks" dxfId="894" priority="832">
      <formula>LEN(TRIM(C308))&gt;0</formula>
    </cfRule>
  </conditionalFormatting>
  <conditionalFormatting sqref="C312">
    <cfRule type="notContainsBlanks" dxfId="893" priority="833">
      <formula>LEN(TRIM(C312))&gt;0</formula>
    </cfRule>
  </conditionalFormatting>
  <conditionalFormatting sqref="C315">
    <cfRule type="notContainsBlanks" dxfId="892" priority="834">
      <formula>LEN(TRIM(C315))&gt;0</formula>
    </cfRule>
  </conditionalFormatting>
  <conditionalFormatting sqref="C320:C321">
    <cfRule type="notContainsBlanks" dxfId="891" priority="835">
      <formula>LEN(TRIM(C320))&gt;0</formula>
    </cfRule>
  </conditionalFormatting>
  <conditionalFormatting sqref="C328">
    <cfRule type="notContainsBlanks" dxfId="890" priority="836">
      <formula>LEN(TRIM(C328))&gt;0</formula>
    </cfRule>
  </conditionalFormatting>
  <conditionalFormatting sqref="C333">
    <cfRule type="notContainsBlanks" dxfId="889" priority="837">
      <formula>LEN(TRIM(C333))&gt;0</formula>
    </cfRule>
  </conditionalFormatting>
  <conditionalFormatting sqref="C334">
    <cfRule type="notContainsBlanks" dxfId="888" priority="838">
      <formula>LEN(TRIM(C334))&gt;0</formula>
    </cfRule>
  </conditionalFormatting>
  <conditionalFormatting sqref="C342">
    <cfRule type="notContainsBlanks" dxfId="887" priority="839">
      <formula>LEN(TRIM(C342))&gt;0</formula>
    </cfRule>
  </conditionalFormatting>
  <conditionalFormatting sqref="C351">
    <cfRule type="notContainsBlanks" dxfId="886" priority="840">
      <formula>LEN(TRIM(C351))&gt;0</formula>
    </cfRule>
  </conditionalFormatting>
  <conditionalFormatting sqref="C354">
    <cfRule type="notContainsBlanks" dxfId="885" priority="841">
      <formula>LEN(TRIM(C354))&gt;0</formula>
    </cfRule>
  </conditionalFormatting>
  <conditionalFormatting sqref="C356:C357">
    <cfRule type="notContainsBlanks" dxfId="884" priority="842">
      <formula>LEN(TRIM(C356))&gt;0</formula>
    </cfRule>
  </conditionalFormatting>
  <conditionalFormatting sqref="C376">
    <cfRule type="notContainsBlanks" dxfId="883" priority="843">
      <formula>LEN(TRIM(C376))&gt;0</formula>
    </cfRule>
  </conditionalFormatting>
  <conditionalFormatting sqref="C392">
    <cfRule type="notContainsBlanks" dxfId="882" priority="844">
      <formula>LEN(TRIM(C392))&gt;0</formula>
    </cfRule>
  </conditionalFormatting>
  <conditionalFormatting sqref="C394">
    <cfRule type="notContainsBlanks" dxfId="881" priority="845">
      <formula>LEN(TRIM(C394))&gt;0</formula>
    </cfRule>
  </conditionalFormatting>
  <conditionalFormatting sqref="C396">
    <cfRule type="notContainsBlanks" dxfId="880" priority="846">
      <formula>LEN(TRIM(C396))&gt;0</formula>
    </cfRule>
  </conditionalFormatting>
  <conditionalFormatting sqref="E396">
    <cfRule type="notContainsBlanks" dxfId="879" priority="847">
      <formula>LEN(TRIM(E396))&gt;0</formula>
    </cfRule>
  </conditionalFormatting>
  <conditionalFormatting sqref="C401">
    <cfRule type="notContainsBlanks" dxfId="878" priority="848">
      <formula>LEN(TRIM(C401))&gt;0</formula>
    </cfRule>
  </conditionalFormatting>
  <conditionalFormatting sqref="C410">
    <cfRule type="notContainsBlanks" dxfId="877" priority="849">
      <formula>LEN(TRIM(C410))&gt;0</formula>
    </cfRule>
  </conditionalFormatting>
  <conditionalFormatting sqref="C412">
    <cfRule type="notContainsBlanks" dxfId="876" priority="850">
      <formula>LEN(TRIM(C412))&gt;0</formula>
    </cfRule>
  </conditionalFormatting>
  <conditionalFormatting sqref="C414">
    <cfRule type="notContainsBlanks" dxfId="875" priority="851">
      <formula>LEN(TRIM(C414))&gt;0</formula>
    </cfRule>
  </conditionalFormatting>
  <conditionalFormatting sqref="D414">
    <cfRule type="notContainsBlanks" dxfId="874" priority="852" stopIfTrue="1">
      <formula>LEN(TRIM(D414))&gt;0</formula>
    </cfRule>
  </conditionalFormatting>
  <conditionalFormatting sqref="C413">
    <cfRule type="notContainsBlanks" dxfId="873" priority="853">
      <formula>LEN(TRIM(C413))&gt;0</formula>
    </cfRule>
  </conditionalFormatting>
  <conditionalFormatting sqref="C415">
    <cfRule type="notContainsBlanks" dxfId="872" priority="854">
      <formula>LEN(TRIM(C415))&gt;0</formula>
    </cfRule>
  </conditionalFormatting>
  <conditionalFormatting sqref="C418">
    <cfRule type="notContainsBlanks" dxfId="871" priority="855">
      <formula>LEN(TRIM(C418))&gt;0</formula>
    </cfRule>
  </conditionalFormatting>
  <conditionalFormatting sqref="D436">
    <cfRule type="notContainsBlanks" dxfId="870" priority="856" stopIfTrue="1">
      <formula>LEN(TRIM(D436))&gt;0</formula>
    </cfRule>
  </conditionalFormatting>
  <conditionalFormatting sqref="C438">
    <cfRule type="notContainsBlanks" dxfId="869" priority="857">
      <formula>LEN(TRIM(C438))&gt;0</formula>
    </cfRule>
  </conditionalFormatting>
  <conditionalFormatting sqref="C439">
    <cfRule type="notContainsBlanks" dxfId="868" priority="858">
      <formula>LEN(TRIM(C439))&gt;0</formula>
    </cfRule>
  </conditionalFormatting>
  <conditionalFormatting sqref="D440">
    <cfRule type="notContainsBlanks" dxfId="867" priority="859" stopIfTrue="1">
      <formula>LEN(TRIM(D440))&gt;0</formula>
    </cfRule>
  </conditionalFormatting>
  <conditionalFormatting sqref="C440">
    <cfRule type="notContainsBlanks" dxfId="866" priority="860">
      <formula>LEN(TRIM(C440))&gt;0</formula>
    </cfRule>
  </conditionalFormatting>
  <conditionalFormatting sqref="C441">
    <cfRule type="notContainsBlanks" dxfId="865" priority="861">
      <formula>LEN(TRIM(C441))&gt;0</formula>
    </cfRule>
  </conditionalFormatting>
  <conditionalFormatting sqref="C442">
    <cfRule type="notContainsBlanks" dxfId="864" priority="862">
      <formula>LEN(TRIM(C442))&gt;0</formula>
    </cfRule>
  </conditionalFormatting>
  <conditionalFormatting sqref="E442">
    <cfRule type="notContainsBlanks" dxfId="863" priority="863">
      <formula>LEN(TRIM(E442))&gt;0</formula>
    </cfRule>
  </conditionalFormatting>
  <conditionalFormatting sqref="C443">
    <cfRule type="notContainsBlanks" dxfId="862" priority="864">
      <formula>LEN(TRIM(C443))&gt;0</formula>
    </cfRule>
  </conditionalFormatting>
  <conditionalFormatting sqref="D443">
    <cfRule type="notContainsBlanks" dxfId="861" priority="865" stopIfTrue="1">
      <formula>LEN(TRIM(D443))&gt;0</formula>
    </cfRule>
  </conditionalFormatting>
  <conditionalFormatting sqref="C447">
    <cfRule type="notContainsBlanks" dxfId="860" priority="866">
      <formula>LEN(TRIM(C447))&gt;0</formula>
    </cfRule>
  </conditionalFormatting>
  <conditionalFormatting sqref="C450">
    <cfRule type="notContainsBlanks" dxfId="859" priority="867">
      <formula>LEN(TRIM(C450))&gt;0</formula>
    </cfRule>
  </conditionalFormatting>
  <conditionalFormatting sqref="C454">
    <cfRule type="notContainsBlanks" dxfId="858" priority="868">
      <formula>LEN(TRIM(C454))&gt;0</formula>
    </cfRule>
  </conditionalFormatting>
  <conditionalFormatting sqref="D458">
    <cfRule type="notContainsBlanks" dxfId="857" priority="869" stopIfTrue="1">
      <formula>LEN(TRIM(D458))&gt;0</formula>
    </cfRule>
  </conditionalFormatting>
  <conditionalFormatting sqref="C458">
    <cfRule type="notContainsBlanks" dxfId="856" priority="870">
      <formula>LEN(TRIM(C458))&gt;0</formula>
    </cfRule>
  </conditionalFormatting>
  <conditionalFormatting sqref="C475">
    <cfRule type="notContainsBlanks" dxfId="855" priority="871">
      <formula>LEN(TRIM(C475))&gt;0</formula>
    </cfRule>
  </conditionalFormatting>
  <conditionalFormatting sqref="C476">
    <cfRule type="notContainsBlanks" dxfId="854" priority="872">
      <formula>LEN(TRIM(C476))&gt;0</formula>
    </cfRule>
  </conditionalFormatting>
  <conditionalFormatting sqref="C477">
    <cfRule type="notContainsBlanks" dxfId="853" priority="873">
      <formula>LEN(TRIM(C477))&gt;0</formula>
    </cfRule>
  </conditionalFormatting>
  <conditionalFormatting sqref="C478">
    <cfRule type="notContainsBlanks" dxfId="852" priority="874">
      <formula>LEN(TRIM(C478))&gt;0</formula>
    </cfRule>
  </conditionalFormatting>
  <conditionalFormatting sqref="C479">
    <cfRule type="notContainsBlanks" dxfId="851" priority="875">
      <formula>LEN(TRIM(C479))&gt;0</formula>
    </cfRule>
  </conditionalFormatting>
  <conditionalFormatting sqref="C483">
    <cfRule type="notContainsBlanks" dxfId="850" priority="876">
      <formula>LEN(TRIM(C483))&gt;0</formula>
    </cfRule>
  </conditionalFormatting>
  <conditionalFormatting sqref="D483">
    <cfRule type="notContainsBlanks" dxfId="849" priority="877" stopIfTrue="1">
      <formula>LEN(TRIM(D483))&gt;0</formula>
    </cfRule>
  </conditionalFormatting>
  <conditionalFormatting sqref="C489">
    <cfRule type="notContainsBlanks" dxfId="848" priority="878">
      <formula>LEN(TRIM(C489))&gt;0</formula>
    </cfRule>
  </conditionalFormatting>
  <conditionalFormatting sqref="C491">
    <cfRule type="notContainsBlanks" dxfId="847" priority="879">
      <formula>LEN(TRIM(C491))&gt;0</formula>
    </cfRule>
  </conditionalFormatting>
  <conditionalFormatting sqref="C496">
    <cfRule type="notContainsBlanks" dxfId="846" priority="880">
      <formula>LEN(TRIM(C496))&gt;0</formula>
    </cfRule>
  </conditionalFormatting>
  <conditionalFormatting sqref="C499">
    <cfRule type="notContainsBlanks" dxfId="845" priority="881">
      <formula>LEN(TRIM(C499))&gt;0</formula>
    </cfRule>
  </conditionalFormatting>
  <conditionalFormatting sqref="C504">
    <cfRule type="notContainsBlanks" dxfId="844" priority="882">
      <formula>LEN(TRIM(C504))&gt;0</formula>
    </cfRule>
  </conditionalFormatting>
  <conditionalFormatting sqref="D504">
    <cfRule type="notContainsBlanks" dxfId="843" priority="883" stopIfTrue="1">
      <formula>LEN(TRIM(D504))&gt;0</formula>
    </cfRule>
  </conditionalFormatting>
  <conditionalFormatting sqref="C509">
    <cfRule type="notContainsBlanks" dxfId="842" priority="884">
      <formula>LEN(TRIM(C509))&gt;0</formula>
    </cfRule>
  </conditionalFormatting>
  <conditionalFormatting sqref="C513">
    <cfRule type="notContainsBlanks" dxfId="841" priority="885">
      <formula>LEN(TRIM(C513))&gt;0</formula>
    </cfRule>
  </conditionalFormatting>
  <conditionalFormatting sqref="C514:C515">
    <cfRule type="notContainsBlanks" dxfId="840" priority="886">
      <formula>LEN(TRIM(C514))&gt;0</formula>
    </cfRule>
  </conditionalFormatting>
  <conditionalFormatting sqref="E514:E515">
    <cfRule type="notContainsBlanks" dxfId="839" priority="887" stopIfTrue="1">
      <formula>LEN(TRIM(E514))&gt;0</formula>
    </cfRule>
  </conditionalFormatting>
  <conditionalFormatting sqref="C517">
    <cfRule type="notContainsBlanks" dxfId="838" priority="888">
      <formula>LEN(TRIM(C517))&gt;0</formula>
    </cfRule>
  </conditionalFormatting>
  <conditionalFormatting sqref="E517">
    <cfRule type="notContainsBlanks" dxfId="837" priority="889" stopIfTrue="1">
      <formula>LEN(TRIM(E517))&gt;0</formula>
    </cfRule>
  </conditionalFormatting>
  <conditionalFormatting sqref="C519:C520">
    <cfRule type="notContainsBlanks" dxfId="836" priority="890">
      <formula>LEN(TRIM(C519))&gt;0</formula>
    </cfRule>
  </conditionalFormatting>
  <conditionalFormatting sqref="D519:D520">
    <cfRule type="notContainsBlanks" dxfId="835" priority="891" stopIfTrue="1">
      <formula>LEN(TRIM(D519))&gt;0</formula>
    </cfRule>
  </conditionalFormatting>
  <conditionalFormatting sqref="C521">
    <cfRule type="notContainsBlanks" dxfId="834" priority="892">
      <formula>LEN(TRIM(C521))&gt;0</formula>
    </cfRule>
  </conditionalFormatting>
  <conditionalFormatting sqref="C530">
    <cfRule type="notContainsBlanks" dxfId="833" priority="893">
      <formula>LEN(TRIM(C530))&gt;0</formula>
    </cfRule>
  </conditionalFormatting>
  <conditionalFormatting sqref="C531">
    <cfRule type="notContainsBlanks" dxfId="832" priority="894">
      <formula>LEN(TRIM(C531))&gt;0</formula>
    </cfRule>
  </conditionalFormatting>
  <conditionalFormatting sqref="E531">
    <cfRule type="notContainsBlanks" dxfId="831" priority="895" stopIfTrue="1">
      <formula>LEN(TRIM(E531))&gt;0</formula>
    </cfRule>
  </conditionalFormatting>
  <conditionalFormatting sqref="C532">
    <cfRule type="notContainsBlanks" dxfId="830" priority="896">
      <formula>LEN(TRIM(C532))&gt;0</formula>
    </cfRule>
  </conditionalFormatting>
  <conditionalFormatting sqref="C533">
    <cfRule type="notContainsBlanks" dxfId="829" priority="897">
      <formula>LEN(TRIM(C533))&gt;0</formula>
    </cfRule>
  </conditionalFormatting>
  <conditionalFormatting sqref="C545">
    <cfRule type="notContainsBlanks" dxfId="828" priority="898">
      <formula>LEN(TRIM(C545))&gt;0</formula>
    </cfRule>
  </conditionalFormatting>
  <conditionalFormatting sqref="E545">
    <cfRule type="notContainsBlanks" dxfId="827" priority="899">
      <formula>LEN(TRIM(E545))&gt;0</formula>
    </cfRule>
  </conditionalFormatting>
  <conditionalFormatting sqref="C549">
    <cfRule type="notContainsBlanks" dxfId="826" priority="900">
      <formula>LEN(TRIM(C549))&gt;0</formula>
    </cfRule>
  </conditionalFormatting>
  <conditionalFormatting sqref="E549">
    <cfRule type="notContainsBlanks" dxfId="825" priority="901">
      <formula>LEN(TRIM(E549))&gt;0</formula>
    </cfRule>
  </conditionalFormatting>
  <conditionalFormatting sqref="C554">
    <cfRule type="notContainsBlanks" dxfId="824" priority="902">
      <formula>LEN(TRIM(C554))&gt;0</formula>
    </cfRule>
  </conditionalFormatting>
  <conditionalFormatting sqref="C562">
    <cfRule type="notContainsBlanks" dxfId="823" priority="903">
      <formula>LEN(TRIM(C562))&gt;0</formula>
    </cfRule>
  </conditionalFormatting>
  <conditionalFormatting sqref="C563">
    <cfRule type="notContainsBlanks" dxfId="822" priority="904">
      <formula>LEN(TRIM(C563))&gt;0</formula>
    </cfRule>
  </conditionalFormatting>
  <conditionalFormatting sqref="D563">
    <cfRule type="notContainsBlanks" dxfId="821" priority="905" stopIfTrue="1">
      <formula>LEN(TRIM(D563))&gt;0</formula>
    </cfRule>
  </conditionalFormatting>
  <conditionalFormatting sqref="C564">
    <cfRule type="notContainsBlanks" dxfId="820" priority="906">
      <formula>LEN(TRIM(C564))&gt;0</formula>
    </cfRule>
  </conditionalFormatting>
  <conditionalFormatting sqref="E571">
    <cfRule type="notContainsBlanks" dxfId="819" priority="907">
      <formula>LEN(TRIM(E571))&gt;0</formula>
    </cfRule>
  </conditionalFormatting>
  <conditionalFormatting sqref="C574">
    <cfRule type="notContainsBlanks" dxfId="818" priority="908">
      <formula>LEN(TRIM(C574))&gt;0</formula>
    </cfRule>
  </conditionalFormatting>
  <conditionalFormatting sqref="C590">
    <cfRule type="notContainsBlanks" dxfId="817" priority="909">
      <formula>LEN(TRIM(C590))&gt;0</formula>
    </cfRule>
  </conditionalFormatting>
  <conditionalFormatting sqref="E590">
    <cfRule type="notContainsBlanks" dxfId="816" priority="910">
      <formula>LEN(TRIM(E590))&gt;0</formula>
    </cfRule>
  </conditionalFormatting>
  <conditionalFormatting sqref="C597">
    <cfRule type="notContainsBlanks" dxfId="815" priority="911">
      <formula>LEN(TRIM(C597))&gt;0</formula>
    </cfRule>
  </conditionalFormatting>
  <conditionalFormatting sqref="E597">
    <cfRule type="notContainsBlanks" dxfId="814" priority="912">
      <formula>LEN(TRIM(E597))&gt;0</formula>
    </cfRule>
  </conditionalFormatting>
  <conditionalFormatting sqref="C598">
    <cfRule type="notContainsBlanks" dxfId="813" priority="913">
      <formula>LEN(TRIM(C598))&gt;0</formula>
    </cfRule>
  </conditionalFormatting>
  <conditionalFormatting sqref="C599">
    <cfRule type="notContainsBlanks" dxfId="812" priority="914">
      <formula>LEN(TRIM(C599))&gt;0</formula>
    </cfRule>
  </conditionalFormatting>
  <conditionalFormatting sqref="D599">
    <cfRule type="notContainsBlanks" dxfId="811" priority="915" stopIfTrue="1">
      <formula>LEN(TRIM(D599))&gt;0</formula>
    </cfRule>
  </conditionalFormatting>
  <conditionalFormatting sqref="C589">
    <cfRule type="notContainsBlanks" dxfId="810" priority="916">
      <formula>LEN(TRIM(C589))&gt;0</formula>
    </cfRule>
  </conditionalFormatting>
  <conditionalFormatting sqref="C592">
    <cfRule type="notContainsBlanks" dxfId="809" priority="917">
      <formula>LEN(TRIM(C592))&gt;0</formula>
    </cfRule>
  </conditionalFormatting>
  <conditionalFormatting sqref="C602">
    <cfRule type="notContainsBlanks" dxfId="808" priority="918">
      <formula>LEN(TRIM(C602))&gt;0</formula>
    </cfRule>
  </conditionalFormatting>
  <conditionalFormatting sqref="C610">
    <cfRule type="notContainsBlanks" dxfId="807" priority="919">
      <formula>LEN(TRIM(C610))&gt;0</formula>
    </cfRule>
  </conditionalFormatting>
  <conditionalFormatting sqref="C611">
    <cfRule type="notContainsBlanks" dxfId="806" priority="920">
      <formula>LEN(TRIM(C611))&gt;0</formula>
    </cfRule>
  </conditionalFormatting>
  <conditionalFormatting sqref="C614">
    <cfRule type="notContainsBlanks" dxfId="805" priority="921">
      <formula>LEN(TRIM(C614))&gt;0</formula>
    </cfRule>
  </conditionalFormatting>
  <conditionalFormatting sqref="E614">
    <cfRule type="notContainsBlanks" dxfId="804" priority="922">
      <formula>LEN(TRIM(E614))&gt;0</formula>
    </cfRule>
  </conditionalFormatting>
  <conditionalFormatting sqref="C624">
    <cfRule type="notContainsBlanks" dxfId="803" priority="923">
      <formula>LEN(TRIM(C624))&gt;0</formula>
    </cfRule>
  </conditionalFormatting>
  <conditionalFormatting sqref="C628">
    <cfRule type="notContainsBlanks" dxfId="802" priority="924">
      <formula>LEN(TRIM(C628))&gt;0</formula>
    </cfRule>
  </conditionalFormatting>
  <conditionalFormatting sqref="D628">
    <cfRule type="notContainsBlanks" dxfId="801" priority="925" stopIfTrue="1">
      <formula>LEN(TRIM(D628))&gt;0</formula>
    </cfRule>
  </conditionalFormatting>
  <conditionalFormatting sqref="C629">
    <cfRule type="notContainsBlanks" dxfId="800" priority="926">
      <formula>LEN(TRIM(C629))&gt;0</formula>
    </cfRule>
  </conditionalFormatting>
  <conditionalFormatting sqref="D629">
    <cfRule type="notContainsBlanks" dxfId="799" priority="927" stopIfTrue="1">
      <formula>LEN(TRIM(D629))&gt;0</formula>
    </cfRule>
  </conditionalFormatting>
  <conditionalFormatting sqref="C638">
    <cfRule type="notContainsBlanks" dxfId="798" priority="928">
      <formula>LEN(TRIM(C638))&gt;0</formula>
    </cfRule>
  </conditionalFormatting>
  <conditionalFormatting sqref="C640">
    <cfRule type="notContainsBlanks" dxfId="797" priority="929">
      <formula>LEN(TRIM(C640))&gt;0</formula>
    </cfRule>
  </conditionalFormatting>
  <conditionalFormatting sqref="C650">
    <cfRule type="notContainsBlanks" dxfId="796" priority="930">
      <formula>LEN(TRIM(C650))&gt;0</formula>
    </cfRule>
  </conditionalFormatting>
  <conditionalFormatting sqref="E650">
    <cfRule type="notContainsBlanks" dxfId="795" priority="931">
      <formula>LEN(TRIM(E650))&gt;0</formula>
    </cfRule>
  </conditionalFormatting>
  <conditionalFormatting sqref="C651">
    <cfRule type="notContainsBlanks" dxfId="794" priority="932">
      <formula>LEN(TRIM(C651))&gt;0</formula>
    </cfRule>
  </conditionalFormatting>
  <conditionalFormatting sqref="C669">
    <cfRule type="notContainsBlanks" dxfId="793" priority="933">
      <formula>LEN(TRIM(C669))&gt;0</formula>
    </cfRule>
  </conditionalFormatting>
  <conditionalFormatting sqref="C678">
    <cfRule type="notContainsBlanks" dxfId="792" priority="934">
      <formula>LEN(TRIM(C678))&gt;0</formula>
    </cfRule>
  </conditionalFormatting>
  <conditionalFormatting sqref="D678">
    <cfRule type="notContainsBlanks" dxfId="791" priority="935" stopIfTrue="1">
      <formula>LEN(TRIM(D678))&gt;0</formula>
    </cfRule>
  </conditionalFormatting>
  <conditionalFormatting sqref="C679">
    <cfRule type="notContainsBlanks" dxfId="790" priority="936">
      <formula>LEN(TRIM(C679))&gt;0</formula>
    </cfRule>
  </conditionalFormatting>
  <conditionalFormatting sqref="C680">
    <cfRule type="notContainsBlanks" dxfId="789" priority="937">
      <formula>LEN(TRIM(C680))&gt;0</formula>
    </cfRule>
  </conditionalFormatting>
  <conditionalFormatting sqref="E680">
    <cfRule type="notContainsBlanks" dxfId="788" priority="938">
      <formula>LEN(TRIM(E680))&gt;0</formula>
    </cfRule>
  </conditionalFormatting>
  <conditionalFormatting sqref="C681">
    <cfRule type="notContainsBlanks" dxfId="787" priority="939">
      <formula>LEN(TRIM(C681))&gt;0</formula>
    </cfRule>
  </conditionalFormatting>
  <conditionalFormatting sqref="D681">
    <cfRule type="notContainsBlanks" dxfId="786" priority="940" stopIfTrue="1">
      <formula>LEN(TRIM(D681))&gt;0</formula>
    </cfRule>
  </conditionalFormatting>
  <conditionalFormatting sqref="C688">
    <cfRule type="notContainsBlanks" dxfId="785" priority="941">
      <formula>LEN(TRIM(C688))&gt;0</formula>
    </cfRule>
  </conditionalFormatting>
  <conditionalFormatting sqref="C708">
    <cfRule type="notContainsBlanks" dxfId="784" priority="942">
      <formula>LEN(TRIM(C708))&gt;0</formula>
    </cfRule>
  </conditionalFormatting>
  <conditionalFormatting sqref="E708">
    <cfRule type="notContainsBlanks" dxfId="783" priority="943">
      <formula>LEN(TRIM(E708))&gt;0</formula>
    </cfRule>
  </conditionalFormatting>
  <conditionalFormatting sqref="C709">
    <cfRule type="notContainsBlanks" dxfId="782" priority="944">
      <formula>LEN(TRIM(C709))&gt;0</formula>
    </cfRule>
  </conditionalFormatting>
  <conditionalFormatting sqref="D709 D712">
    <cfRule type="notContainsBlanks" dxfId="781" priority="945" stopIfTrue="1">
      <formula>LEN(TRIM(D709))&gt;0</formula>
    </cfRule>
  </conditionalFormatting>
  <conditionalFormatting sqref="C714">
    <cfRule type="notContainsBlanks" dxfId="780" priority="946">
      <formula>LEN(TRIM(C714))&gt;0</formula>
    </cfRule>
  </conditionalFormatting>
  <conditionalFormatting sqref="D714">
    <cfRule type="notContainsBlanks" dxfId="779" priority="947" stopIfTrue="1">
      <formula>LEN(TRIM(D714))&gt;0</formula>
    </cfRule>
  </conditionalFormatting>
  <conditionalFormatting sqref="C719">
    <cfRule type="notContainsBlanks" dxfId="778" priority="948">
      <formula>LEN(TRIM(C719))&gt;0</formula>
    </cfRule>
  </conditionalFormatting>
  <conditionalFormatting sqref="C720">
    <cfRule type="notContainsBlanks" dxfId="777" priority="949">
      <formula>LEN(TRIM(C720))&gt;0</formula>
    </cfRule>
  </conditionalFormatting>
  <conditionalFormatting sqref="E720">
    <cfRule type="notContainsBlanks" dxfId="776" priority="950">
      <formula>LEN(TRIM(E720))&gt;0</formula>
    </cfRule>
  </conditionalFormatting>
  <conditionalFormatting sqref="C724">
    <cfRule type="notContainsBlanks" dxfId="775" priority="951">
      <formula>LEN(TRIM(C724))&gt;0</formula>
    </cfRule>
  </conditionalFormatting>
  <conditionalFormatting sqref="C691">
    <cfRule type="notContainsBlanks" dxfId="774" priority="952">
      <formula>LEN(TRIM(C691))&gt;0</formula>
    </cfRule>
  </conditionalFormatting>
  <conditionalFormatting sqref="C695:C696">
    <cfRule type="notContainsBlanks" dxfId="773" priority="953">
      <formula>LEN(TRIM(C695))&gt;0</formula>
    </cfRule>
  </conditionalFormatting>
  <conditionalFormatting sqref="C699">
    <cfRule type="notContainsBlanks" dxfId="772" priority="954">
      <formula>LEN(TRIM(C699))&gt;0</formula>
    </cfRule>
  </conditionalFormatting>
  <conditionalFormatting sqref="E699 E707">
    <cfRule type="notContainsBlanks" dxfId="771" priority="955">
      <formula>LEN(TRIM(E699))&gt;0</formula>
    </cfRule>
  </conditionalFormatting>
  <conditionalFormatting sqref="C707">
    <cfRule type="notContainsBlanks" dxfId="770" priority="956">
      <formula>LEN(TRIM(C707))&gt;0</formula>
    </cfRule>
  </conditionalFormatting>
  <conditionalFormatting sqref="C712">
    <cfRule type="notContainsBlanks" dxfId="769" priority="957">
      <formula>LEN(TRIM(C712))&gt;0</formula>
    </cfRule>
  </conditionalFormatting>
  <conditionalFormatting sqref="C741">
    <cfRule type="notContainsBlanks" dxfId="768" priority="958">
      <formula>LEN(TRIM(C741))&gt;0</formula>
    </cfRule>
  </conditionalFormatting>
  <conditionalFormatting sqref="C753">
    <cfRule type="notContainsBlanks" dxfId="767" priority="959">
      <formula>LEN(TRIM(C753))&gt;0</formula>
    </cfRule>
  </conditionalFormatting>
  <conditionalFormatting sqref="C754">
    <cfRule type="notContainsBlanks" dxfId="766" priority="960">
      <formula>LEN(TRIM(C754))&gt;0</formula>
    </cfRule>
  </conditionalFormatting>
  <conditionalFormatting sqref="C755">
    <cfRule type="notContainsBlanks" dxfId="765" priority="961">
      <formula>LEN(TRIM(C755))&gt;0</formula>
    </cfRule>
  </conditionalFormatting>
  <conditionalFormatting sqref="C756">
    <cfRule type="notContainsBlanks" dxfId="764" priority="962">
      <formula>LEN(TRIM(C756))&gt;0</formula>
    </cfRule>
  </conditionalFormatting>
  <conditionalFormatting sqref="C757">
    <cfRule type="notContainsBlanks" dxfId="763" priority="963">
      <formula>LEN(TRIM(C757))&gt;0</formula>
    </cfRule>
  </conditionalFormatting>
  <conditionalFormatting sqref="C758">
    <cfRule type="notContainsBlanks" dxfId="762" priority="964">
      <formula>LEN(TRIM(C758))&gt;0</formula>
    </cfRule>
  </conditionalFormatting>
  <conditionalFormatting sqref="C763">
    <cfRule type="notContainsBlanks" dxfId="761" priority="965">
      <formula>LEN(TRIM(C763))&gt;0</formula>
    </cfRule>
  </conditionalFormatting>
  <conditionalFormatting sqref="C764">
    <cfRule type="notContainsBlanks" dxfId="760" priority="966">
      <formula>LEN(TRIM(C764))&gt;0</formula>
    </cfRule>
  </conditionalFormatting>
  <conditionalFormatting sqref="C767">
    <cfRule type="notContainsBlanks" dxfId="759" priority="967">
      <formula>LEN(TRIM(C767))&gt;0</formula>
    </cfRule>
  </conditionalFormatting>
  <conditionalFormatting sqref="D767">
    <cfRule type="notContainsBlanks" dxfId="758" priority="968" stopIfTrue="1">
      <formula>LEN(TRIM(D767))&gt;0</formula>
    </cfRule>
  </conditionalFormatting>
  <conditionalFormatting sqref="C769">
    <cfRule type="notContainsBlanks" dxfId="757" priority="969">
      <formula>LEN(TRIM(C769))&gt;0</formula>
    </cfRule>
  </conditionalFormatting>
  <conditionalFormatting sqref="C774">
    <cfRule type="notContainsBlanks" dxfId="756" priority="970">
      <formula>LEN(TRIM(C774))&gt;0</formula>
    </cfRule>
  </conditionalFormatting>
  <conditionalFormatting sqref="C775">
    <cfRule type="notContainsBlanks" dxfId="755" priority="971">
      <formula>LEN(TRIM(C775))&gt;0</formula>
    </cfRule>
  </conditionalFormatting>
  <conditionalFormatting sqref="C776">
    <cfRule type="notContainsBlanks" dxfId="754" priority="972">
      <formula>LEN(TRIM(C776))&gt;0</formula>
    </cfRule>
  </conditionalFormatting>
  <conditionalFormatting sqref="C778">
    <cfRule type="notContainsBlanks" dxfId="753" priority="973">
      <formula>LEN(TRIM(C778))&gt;0</formula>
    </cfRule>
  </conditionalFormatting>
  <conditionalFormatting sqref="C789">
    <cfRule type="notContainsBlanks" dxfId="752" priority="974">
      <formula>LEN(TRIM(C789))&gt;0</formula>
    </cfRule>
  </conditionalFormatting>
  <conditionalFormatting sqref="E789">
    <cfRule type="notContainsBlanks" dxfId="751" priority="975">
      <formula>LEN(TRIM(E789))&gt;0</formula>
    </cfRule>
  </conditionalFormatting>
  <conditionalFormatting sqref="C793">
    <cfRule type="notContainsBlanks" dxfId="750" priority="976">
      <formula>LEN(TRIM(C793))&gt;0</formula>
    </cfRule>
  </conditionalFormatting>
  <conditionalFormatting sqref="E793">
    <cfRule type="notContainsBlanks" dxfId="749" priority="977">
      <formula>LEN(TRIM(E793))&gt;0</formula>
    </cfRule>
  </conditionalFormatting>
  <conditionalFormatting sqref="C801:D801">
    <cfRule type="notContainsBlanks" dxfId="748" priority="978">
      <formula>LEN(TRIM(C801))&gt;0</formula>
    </cfRule>
  </conditionalFormatting>
  <conditionalFormatting sqref="E801">
    <cfRule type="notContainsBlanks" dxfId="747" priority="979">
      <formula>LEN(TRIM(E801))&gt;0</formula>
    </cfRule>
  </conditionalFormatting>
  <conditionalFormatting sqref="C803:D803">
    <cfRule type="notContainsBlanks" dxfId="746" priority="980">
      <formula>LEN(TRIM(C803))&gt;0</formula>
    </cfRule>
  </conditionalFormatting>
  <conditionalFormatting sqref="C807">
    <cfRule type="notContainsBlanks" dxfId="745" priority="981">
      <formula>LEN(TRIM(C807))&gt;0</formula>
    </cfRule>
  </conditionalFormatting>
  <conditionalFormatting sqref="E807">
    <cfRule type="notContainsBlanks" dxfId="744" priority="982">
      <formula>LEN(TRIM(E807))&gt;0</formula>
    </cfRule>
  </conditionalFormatting>
  <conditionalFormatting sqref="C814">
    <cfRule type="notContainsBlanks" dxfId="743" priority="983">
      <formula>LEN(TRIM(C814))&gt;0</formula>
    </cfRule>
  </conditionalFormatting>
  <conditionalFormatting sqref="C832:D832">
    <cfRule type="notContainsBlanks" dxfId="742" priority="984">
      <formula>LEN(TRIM(C832))&gt;0</formula>
    </cfRule>
  </conditionalFormatting>
  <conditionalFormatting sqref="E832">
    <cfRule type="notContainsBlanks" dxfId="741" priority="985">
      <formula>LEN(TRIM(E832))&gt;0</formula>
    </cfRule>
  </conditionalFormatting>
  <conditionalFormatting sqref="C834">
    <cfRule type="notContainsBlanks" dxfId="740" priority="986">
      <formula>LEN(TRIM(C834))&gt;0</formula>
    </cfRule>
  </conditionalFormatting>
  <conditionalFormatting sqref="C858">
    <cfRule type="notContainsBlanks" dxfId="739" priority="760">
      <formula>LEN(TRIM(C858))&gt;0</formula>
    </cfRule>
  </conditionalFormatting>
  <conditionalFormatting sqref="C867">
    <cfRule type="notContainsBlanks" dxfId="738" priority="759">
      <formula>LEN(TRIM(C867))&gt;0</formula>
    </cfRule>
  </conditionalFormatting>
  <conditionalFormatting sqref="C868">
    <cfRule type="notContainsBlanks" dxfId="737" priority="758">
      <formula>LEN(TRIM(C868))&gt;0</formula>
    </cfRule>
  </conditionalFormatting>
  <conditionalFormatting sqref="D867">
    <cfRule type="notContainsBlanks" dxfId="736" priority="756" stopIfTrue="1">
      <formula>LEN(TRIM(D867))&gt;0</formula>
    </cfRule>
  </conditionalFormatting>
  <conditionalFormatting sqref="C871">
    <cfRule type="notContainsBlanks" dxfId="735" priority="755">
      <formula>LEN(TRIM(C871))&gt;0</formula>
    </cfRule>
  </conditionalFormatting>
  <conditionalFormatting sqref="C873">
    <cfRule type="notContainsBlanks" dxfId="734" priority="754">
      <formula>LEN(TRIM(C873))&gt;0</formula>
    </cfRule>
  </conditionalFormatting>
  <conditionalFormatting sqref="C882">
    <cfRule type="notContainsBlanks" dxfId="733" priority="753">
      <formula>LEN(TRIM(C882))&gt;0</formula>
    </cfRule>
  </conditionalFormatting>
  <conditionalFormatting sqref="E882">
    <cfRule type="notContainsBlanks" dxfId="732" priority="752">
      <formula>LEN(TRIM(E882))&gt;0</formula>
    </cfRule>
  </conditionalFormatting>
  <conditionalFormatting sqref="C881">
    <cfRule type="notContainsBlanks" dxfId="731" priority="751">
      <formula>LEN(TRIM(C881))&gt;0</formula>
    </cfRule>
  </conditionalFormatting>
  <conditionalFormatting sqref="C886:D886">
    <cfRule type="notContainsBlanks" dxfId="730" priority="750">
      <formula>LEN(TRIM(C886))&gt;0</formula>
    </cfRule>
  </conditionalFormatting>
  <conditionalFormatting sqref="E886">
    <cfRule type="notContainsBlanks" dxfId="729" priority="749">
      <formula>LEN(TRIM(E886))&gt;0</formula>
    </cfRule>
  </conditionalFormatting>
  <conditionalFormatting sqref="E885">
    <cfRule type="notContainsBlanks" dxfId="728" priority="748">
      <formula>LEN(TRIM(E885))&gt;0</formula>
    </cfRule>
  </conditionalFormatting>
  <conditionalFormatting sqref="C897:D897">
    <cfRule type="notContainsBlanks" dxfId="727" priority="747">
      <formula>LEN(TRIM(C897))&gt;0</formula>
    </cfRule>
  </conditionalFormatting>
  <conditionalFormatting sqref="E897">
    <cfRule type="notContainsBlanks" dxfId="726" priority="746">
      <formula>LEN(TRIM(E897))&gt;0</formula>
    </cfRule>
  </conditionalFormatting>
  <conditionalFormatting sqref="C898">
    <cfRule type="notContainsBlanks" dxfId="725" priority="745">
      <formula>LEN(TRIM(C898))&gt;0</formula>
    </cfRule>
  </conditionalFormatting>
  <conditionalFormatting sqref="D898">
    <cfRule type="notContainsBlanks" dxfId="724" priority="744" stopIfTrue="1">
      <formula>LEN(TRIM(D898))&gt;0</formula>
    </cfRule>
  </conditionalFormatting>
  <conditionalFormatting sqref="E896">
    <cfRule type="notContainsBlanks" dxfId="723" priority="743">
      <formula>LEN(TRIM(E896))&gt;0</formula>
    </cfRule>
  </conditionalFormatting>
  <conditionalFormatting sqref="E892">
    <cfRule type="notContainsBlanks" dxfId="722" priority="742">
      <formula>LEN(TRIM(E892))&gt;0</formula>
    </cfRule>
  </conditionalFormatting>
  <conditionalFormatting sqref="C893">
    <cfRule type="notContainsBlanks" dxfId="721" priority="741">
      <formula>LEN(TRIM(C893))&gt;0</formula>
    </cfRule>
  </conditionalFormatting>
  <conditionalFormatting sqref="C903">
    <cfRule type="notContainsBlanks" dxfId="720" priority="740">
      <formula>LEN(TRIM(C903))&gt;0</formula>
    </cfRule>
  </conditionalFormatting>
  <conditionalFormatting sqref="C912">
    <cfRule type="notContainsBlanks" dxfId="719" priority="739">
      <formula>LEN(TRIM(C912))&gt;0</formula>
    </cfRule>
  </conditionalFormatting>
  <conditionalFormatting sqref="D912:E912">
    <cfRule type="notContainsBlanks" dxfId="718" priority="738">
      <formula>LEN(TRIM(D912))&gt;0</formula>
    </cfRule>
  </conditionalFormatting>
  <conditionalFormatting sqref="C913:D913">
    <cfRule type="notContainsBlanks" dxfId="717" priority="737">
      <formula>LEN(TRIM(C913))&gt;0</formula>
    </cfRule>
  </conditionalFormatting>
  <conditionalFormatting sqref="E913">
    <cfRule type="notContainsBlanks" dxfId="716" priority="736">
      <formula>LEN(TRIM(E913))&gt;0</formula>
    </cfRule>
  </conditionalFormatting>
  <conditionalFormatting sqref="C924">
    <cfRule type="notContainsBlanks" dxfId="715" priority="733">
      <formula>LEN(TRIM(C924))&gt;0</formula>
    </cfRule>
  </conditionalFormatting>
  <conditionalFormatting sqref="C926">
    <cfRule type="notContainsBlanks" dxfId="714" priority="732">
      <formula>LEN(TRIM(C926))&gt;0</formula>
    </cfRule>
  </conditionalFormatting>
  <conditionalFormatting sqref="D924">
    <cfRule type="notContainsBlanks" dxfId="713" priority="731" stopIfTrue="1">
      <formula>LEN(TRIM(D924))&gt;0</formula>
    </cfRule>
  </conditionalFormatting>
  <conditionalFormatting sqref="E925">
    <cfRule type="notContainsBlanks" dxfId="712" priority="730">
      <formula>LEN(TRIM(E925))&gt;0</formula>
    </cfRule>
  </conditionalFormatting>
  <conditionalFormatting sqref="E930">
    <cfRule type="notContainsBlanks" dxfId="711" priority="729">
      <formula>LEN(TRIM(E930))&gt;0</formula>
    </cfRule>
  </conditionalFormatting>
  <conditionalFormatting sqref="C929:D929">
    <cfRule type="notContainsBlanks" dxfId="710" priority="728">
      <formula>LEN(TRIM(C929))&gt;0</formula>
    </cfRule>
  </conditionalFormatting>
  <conditionalFormatting sqref="E929">
    <cfRule type="notContainsBlanks" dxfId="709" priority="727">
      <formula>LEN(TRIM(E929))&gt;0</formula>
    </cfRule>
  </conditionalFormatting>
  <conditionalFormatting sqref="E931">
    <cfRule type="notContainsBlanks" dxfId="708" priority="725">
      <formula>LEN(TRIM(E931))&gt;0</formula>
    </cfRule>
  </conditionalFormatting>
  <conditionalFormatting sqref="C932">
    <cfRule type="notContainsBlanks" dxfId="707" priority="723">
      <formula>LEN(TRIM(C932))&gt;0</formula>
    </cfRule>
  </conditionalFormatting>
  <conditionalFormatting sqref="D932">
    <cfRule type="notContainsBlanks" dxfId="706" priority="724">
      <formula>LEN(TRIM(D932))&gt;0</formula>
    </cfRule>
  </conditionalFormatting>
  <conditionalFormatting sqref="E932">
    <cfRule type="notContainsBlanks" dxfId="705" priority="722">
      <formula>LEN(TRIM(E932))&gt;0</formula>
    </cfRule>
  </conditionalFormatting>
  <conditionalFormatting sqref="C937">
    <cfRule type="notContainsBlanks" dxfId="704" priority="721">
      <formula>LEN(TRIM(C937))&gt;0</formula>
    </cfRule>
  </conditionalFormatting>
  <conditionalFormatting sqref="E937">
    <cfRule type="notContainsBlanks" dxfId="703" priority="720">
      <formula>LEN(TRIM(E937))&gt;0</formula>
    </cfRule>
  </conditionalFormatting>
  <conditionalFormatting sqref="D937">
    <cfRule type="notContainsBlanks" dxfId="702" priority="719" stopIfTrue="1">
      <formula>LEN(TRIM(D937))&gt;0</formula>
    </cfRule>
  </conditionalFormatting>
  <conditionalFormatting sqref="C942">
    <cfRule type="notContainsBlanks" dxfId="701" priority="718">
      <formula>LEN(TRIM(C942))&gt;0</formula>
    </cfRule>
  </conditionalFormatting>
  <conditionalFormatting sqref="C950">
    <cfRule type="notContainsBlanks" dxfId="700" priority="715">
      <formula>LEN(TRIM(C950))&gt;0</formula>
    </cfRule>
  </conditionalFormatting>
  <conditionalFormatting sqref="D951">
    <cfRule type="notContainsBlanks" dxfId="699" priority="714" stopIfTrue="1">
      <formula>LEN(TRIM(D951))&gt;0</formula>
    </cfRule>
  </conditionalFormatting>
  <conditionalFormatting sqref="B951:B953">
    <cfRule type="notContainsBlanks" dxfId="698" priority="713">
      <formula>LEN(TRIM(B951))&gt;0</formula>
    </cfRule>
  </conditionalFormatting>
  <conditionalFormatting sqref="C951">
    <cfRule type="notContainsBlanks" dxfId="697" priority="712">
      <formula>LEN(TRIM(C951))&gt;0</formula>
    </cfRule>
  </conditionalFormatting>
  <conditionalFormatting sqref="C952:D952">
    <cfRule type="notContainsBlanks" dxfId="696" priority="711">
      <formula>LEN(TRIM(C952))&gt;0</formula>
    </cfRule>
  </conditionalFormatting>
  <conditionalFormatting sqref="E952">
    <cfRule type="notContainsBlanks" dxfId="695" priority="710">
      <formula>LEN(TRIM(E952))&gt;0</formula>
    </cfRule>
  </conditionalFormatting>
  <conditionalFormatting sqref="C953">
    <cfRule type="notContainsBlanks" dxfId="694" priority="708">
      <formula>LEN(TRIM(C953))&gt;0</formula>
    </cfRule>
  </conditionalFormatting>
  <conditionalFormatting sqref="D953">
    <cfRule type="notContainsBlanks" dxfId="693" priority="709">
      <formula>LEN(TRIM(D953))&gt;0</formula>
    </cfRule>
  </conditionalFormatting>
  <conditionalFormatting sqref="E953">
    <cfRule type="notContainsBlanks" dxfId="692" priority="707">
      <formula>LEN(TRIM(E953))&gt;0</formula>
    </cfRule>
  </conditionalFormatting>
  <conditionalFormatting sqref="C955:D955">
    <cfRule type="notContainsBlanks" dxfId="691" priority="706">
      <formula>LEN(TRIM(C955))&gt;0</formula>
    </cfRule>
  </conditionalFormatting>
  <conditionalFormatting sqref="E955">
    <cfRule type="notContainsBlanks" dxfId="690" priority="705">
      <formula>LEN(TRIM(E955))&gt;0</formula>
    </cfRule>
  </conditionalFormatting>
  <conditionalFormatting sqref="C959:D959">
    <cfRule type="notContainsBlanks" dxfId="689" priority="704">
      <formula>LEN(TRIM(C959))&gt;0</formula>
    </cfRule>
  </conditionalFormatting>
  <conditionalFormatting sqref="E959">
    <cfRule type="notContainsBlanks" dxfId="688" priority="703">
      <formula>LEN(TRIM(E959))&gt;0</formula>
    </cfRule>
  </conditionalFormatting>
  <conditionalFormatting sqref="C966">
    <cfRule type="notContainsBlanks" dxfId="687" priority="700">
      <formula>LEN(TRIM(C966))&gt;0</formula>
    </cfRule>
  </conditionalFormatting>
  <conditionalFormatting sqref="D966">
    <cfRule type="notContainsBlanks" dxfId="686" priority="699" stopIfTrue="1">
      <formula>LEN(TRIM(D966))&gt;0</formula>
    </cfRule>
  </conditionalFormatting>
  <conditionalFormatting sqref="D967:D972">
    <cfRule type="notContainsBlanks" dxfId="685" priority="697">
      <formula>LEN(TRIM(D967))&gt;0</formula>
    </cfRule>
  </conditionalFormatting>
  <conditionalFormatting sqref="C967">
    <cfRule type="notContainsBlanks" dxfId="684" priority="698">
      <formula>LEN(TRIM(C967))&gt;0</formula>
    </cfRule>
  </conditionalFormatting>
  <conditionalFormatting sqref="E967">
    <cfRule type="notContainsBlanks" dxfId="683" priority="696">
      <formula>LEN(TRIM(E967))&gt;0</formula>
    </cfRule>
  </conditionalFormatting>
  <conditionalFormatting sqref="C980:D980">
    <cfRule type="notContainsBlanks" dxfId="682" priority="695">
      <formula>LEN(TRIM(C980))&gt;0</formula>
    </cfRule>
  </conditionalFormatting>
  <conditionalFormatting sqref="C981:D981">
    <cfRule type="notContainsBlanks" dxfId="681" priority="694">
      <formula>LEN(TRIM(C981))&gt;0</formula>
    </cfRule>
  </conditionalFormatting>
  <conditionalFormatting sqref="C983:D983">
    <cfRule type="notContainsBlanks" dxfId="680" priority="693">
      <formula>LEN(TRIM(C983))&gt;0</formula>
    </cfRule>
  </conditionalFormatting>
  <conditionalFormatting sqref="E983">
    <cfRule type="notContainsBlanks" dxfId="679" priority="692">
      <formula>LEN(TRIM(E983))&gt;0</formula>
    </cfRule>
  </conditionalFormatting>
  <conditionalFormatting sqref="D988">
    <cfRule type="notContainsBlanks" dxfId="678" priority="691">
      <formula>LEN(TRIM(D988))&gt;0</formula>
    </cfRule>
  </conditionalFormatting>
  <conditionalFormatting sqref="D999">
    <cfRule type="notContainsBlanks" dxfId="677" priority="690">
      <formula>LEN(TRIM(D999))&gt;0</formula>
    </cfRule>
  </conditionalFormatting>
  <conditionalFormatting sqref="C1006:D1006">
    <cfRule type="notContainsBlanks" dxfId="676" priority="689">
      <formula>LEN(TRIM(C1006))&gt;0</formula>
    </cfRule>
  </conditionalFormatting>
  <conditionalFormatting sqref="E1006">
    <cfRule type="notContainsBlanks" dxfId="675" priority="688">
      <formula>LEN(TRIM(E1006))&gt;0</formula>
    </cfRule>
  </conditionalFormatting>
  <conditionalFormatting sqref="C1013:D1013">
    <cfRule type="notContainsBlanks" dxfId="674" priority="687">
      <formula>LEN(TRIM(C1013))&gt;0</formula>
    </cfRule>
  </conditionalFormatting>
  <conditionalFormatting sqref="E1013">
    <cfRule type="notContainsBlanks" dxfId="673" priority="686">
      <formula>LEN(TRIM(E1013))&gt;0</formula>
    </cfRule>
  </conditionalFormatting>
  <conditionalFormatting sqref="C1018:D1018">
    <cfRule type="notContainsBlanks" dxfId="672" priority="685">
      <formula>LEN(TRIM(C1018))&gt;0</formula>
    </cfRule>
  </conditionalFormatting>
  <conditionalFormatting sqref="C1020">
    <cfRule type="notContainsBlanks" dxfId="671" priority="684">
      <formula>LEN(TRIM(C1020))&gt;0</formula>
    </cfRule>
  </conditionalFormatting>
  <conditionalFormatting sqref="C1021">
    <cfRule type="notContainsBlanks" dxfId="670" priority="683">
      <formula>LEN(TRIM(C1021))&gt;0</formula>
    </cfRule>
  </conditionalFormatting>
  <conditionalFormatting sqref="D1021">
    <cfRule type="notContainsBlanks" dxfId="669" priority="682" stopIfTrue="1">
      <formula>LEN(TRIM(D1021))&gt;0</formula>
    </cfRule>
  </conditionalFormatting>
  <conditionalFormatting sqref="C1022">
    <cfRule type="notContainsBlanks" dxfId="668" priority="681">
      <formula>LEN(TRIM(C1022))&gt;0</formula>
    </cfRule>
  </conditionalFormatting>
  <conditionalFormatting sqref="D1022">
    <cfRule type="notContainsBlanks" dxfId="667" priority="680" stopIfTrue="1">
      <formula>LEN(TRIM(D1022))&gt;0</formula>
    </cfRule>
  </conditionalFormatting>
  <conditionalFormatting sqref="D1023">
    <cfRule type="notContainsBlanks" dxfId="666" priority="678">
      <formula>LEN(TRIM(D1023))&gt;0</formula>
    </cfRule>
  </conditionalFormatting>
  <conditionalFormatting sqref="C1023">
    <cfRule type="notContainsBlanks" dxfId="665" priority="679">
      <formula>LEN(TRIM(C1023))&gt;0</formula>
    </cfRule>
  </conditionalFormatting>
  <conditionalFormatting sqref="E1023">
    <cfRule type="notContainsBlanks" dxfId="664" priority="677">
      <formula>LEN(TRIM(E1023))&gt;0</formula>
    </cfRule>
  </conditionalFormatting>
  <conditionalFormatting sqref="D1024">
    <cfRule type="notContainsBlanks" dxfId="663" priority="676" stopIfTrue="1">
      <formula>LEN(TRIM(D1024))&gt;0</formula>
    </cfRule>
  </conditionalFormatting>
  <conditionalFormatting sqref="C1024">
    <cfRule type="notContainsBlanks" dxfId="662" priority="675">
      <formula>LEN(TRIM(C1024))&gt;0</formula>
    </cfRule>
  </conditionalFormatting>
  <conditionalFormatting sqref="D1029:D1033">
    <cfRule type="notContainsBlanks" dxfId="661" priority="673">
      <formula>LEN(TRIM(D1029))&gt;0</formula>
    </cfRule>
  </conditionalFormatting>
  <conditionalFormatting sqref="C1029">
    <cfRule type="notContainsBlanks" dxfId="660" priority="674">
      <formula>LEN(TRIM(C1029))&gt;0</formula>
    </cfRule>
  </conditionalFormatting>
  <conditionalFormatting sqref="E1029">
    <cfRule type="notContainsBlanks" dxfId="659" priority="672">
      <formula>LEN(TRIM(E1029))&gt;0</formula>
    </cfRule>
  </conditionalFormatting>
  <conditionalFormatting sqref="C1034:D1034">
    <cfRule type="notContainsBlanks" dxfId="658" priority="671">
      <formula>LEN(TRIM(C1034))&gt;0</formula>
    </cfRule>
  </conditionalFormatting>
  <conditionalFormatting sqref="E1034">
    <cfRule type="notContainsBlanks" dxfId="657" priority="670">
      <formula>LEN(TRIM(E1034))&gt;0</formula>
    </cfRule>
  </conditionalFormatting>
  <conditionalFormatting sqref="C1035">
    <cfRule type="notContainsBlanks" dxfId="656" priority="669">
      <formula>LEN(TRIM(C1035))&gt;0</formula>
    </cfRule>
  </conditionalFormatting>
  <conditionalFormatting sqref="D1035">
    <cfRule type="notContainsBlanks" dxfId="655" priority="668" stopIfTrue="1">
      <formula>LEN(TRIM(D1035))&gt;0</formula>
    </cfRule>
  </conditionalFormatting>
  <conditionalFormatting sqref="D1044">
    <cfRule type="notContainsBlanks" dxfId="654" priority="666">
      <formula>LEN(TRIM(D1044))&gt;0</formula>
    </cfRule>
  </conditionalFormatting>
  <conditionalFormatting sqref="C1044">
    <cfRule type="notContainsBlanks" dxfId="653" priority="667">
      <formula>LEN(TRIM(C1044))&gt;0</formula>
    </cfRule>
  </conditionalFormatting>
  <conditionalFormatting sqref="E1044">
    <cfRule type="notContainsBlanks" dxfId="652" priority="665">
      <formula>LEN(TRIM(E1044))&gt;0</formula>
    </cfRule>
  </conditionalFormatting>
  <conditionalFormatting sqref="C1049:D1049">
    <cfRule type="notContainsBlanks" dxfId="651" priority="664">
      <formula>LEN(TRIM(C1049))&gt;0</formula>
    </cfRule>
  </conditionalFormatting>
  <conditionalFormatting sqref="E1049">
    <cfRule type="notContainsBlanks" dxfId="650" priority="663">
      <formula>LEN(TRIM(E1049))&gt;0</formula>
    </cfRule>
  </conditionalFormatting>
  <conditionalFormatting sqref="C1040">
    <cfRule type="notContainsBlanks" dxfId="649" priority="662">
      <formula>LEN(TRIM(C1040))&gt;0</formula>
    </cfRule>
  </conditionalFormatting>
  <conditionalFormatting sqref="C1056">
    <cfRule type="notContainsBlanks" dxfId="648" priority="661">
      <formula>LEN(TRIM(C1056))&gt;0</formula>
    </cfRule>
  </conditionalFormatting>
  <conditionalFormatting sqref="C1058">
    <cfRule type="notContainsBlanks" dxfId="647" priority="660">
      <formula>LEN(TRIM(C1058))&gt;0</formula>
    </cfRule>
  </conditionalFormatting>
  <conditionalFormatting sqref="C1069:D1069">
    <cfRule type="notContainsBlanks" dxfId="646" priority="659">
      <formula>LEN(TRIM(C1069))&gt;0</formula>
    </cfRule>
  </conditionalFormatting>
  <conditionalFormatting sqref="E1069">
    <cfRule type="notContainsBlanks" dxfId="645" priority="658">
      <formula>LEN(TRIM(E1069))&gt;0</formula>
    </cfRule>
  </conditionalFormatting>
  <conditionalFormatting sqref="C1080">
    <cfRule type="notContainsBlanks" dxfId="644" priority="657">
      <formula>LEN(TRIM(C1080))&gt;0</formula>
    </cfRule>
  </conditionalFormatting>
  <conditionalFormatting sqref="C1081:D1081">
    <cfRule type="notContainsBlanks" dxfId="643" priority="656">
      <formula>LEN(TRIM(C1081))&gt;0</formula>
    </cfRule>
  </conditionalFormatting>
  <conditionalFormatting sqref="E1081">
    <cfRule type="notContainsBlanks" dxfId="642" priority="655">
      <formula>LEN(TRIM(E1081))&gt;0</formula>
    </cfRule>
  </conditionalFormatting>
  <conditionalFormatting sqref="C1086">
    <cfRule type="notContainsBlanks" dxfId="641" priority="654">
      <formula>LEN(TRIM(C1086))&gt;0</formula>
    </cfRule>
  </conditionalFormatting>
  <conditionalFormatting sqref="C1092">
    <cfRule type="notContainsBlanks" dxfId="640" priority="653">
      <formula>LEN(TRIM(C1092))&gt;0</formula>
    </cfRule>
  </conditionalFormatting>
  <conditionalFormatting sqref="C1100:D1100">
    <cfRule type="notContainsBlanks" dxfId="639" priority="652">
      <formula>LEN(TRIM(C1100))&gt;0</formula>
    </cfRule>
  </conditionalFormatting>
  <conditionalFormatting sqref="E1100">
    <cfRule type="notContainsBlanks" dxfId="638" priority="651">
      <formula>LEN(TRIM(E1100))&gt;0</formula>
    </cfRule>
  </conditionalFormatting>
  <conditionalFormatting sqref="C1103">
    <cfRule type="notContainsBlanks" dxfId="637" priority="650">
      <formula>LEN(TRIM(C1103))&gt;0</formula>
    </cfRule>
  </conditionalFormatting>
  <conditionalFormatting sqref="C1104">
    <cfRule type="notContainsBlanks" dxfId="636" priority="649">
      <formula>LEN(TRIM(C1104))&gt;0</formula>
    </cfRule>
  </conditionalFormatting>
  <conditionalFormatting sqref="C1105">
    <cfRule type="notContainsBlanks" dxfId="635" priority="648">
      <formula>LEN(TRIM(C1105))&gt;0</formula>
    </cfRule>
  </conditionalFormatting>
  <conditionalFormatting sqref="C1106">
    <cfRule type="notContainsBlanks" dxfId="634" priority="647">
      <formula>LEN(TRIM(C1106))&gt;0</formula>
    </cfRule>
  </conditionalFormatting>
  <conditionalFormatting sqref="C1107">
    <cfRule type="notContainsBlanks" dxfId="633" priority="646">
      <formula>LEN(TRIM(C1107))&gt;0</formula>
    </cfRule>
  </conditionalFormatting>
  <conditionalFormatting sqref="C1108">
    <cfRule type="notContainsBlanks" dxfId="632" priority="645">
      <formula>LEN(TRIM(C1108))&gt;0</formula>
    </cfRule>
  </conditionalFormatting>
  <conditionalFormatting sqref="C1109:D1109">
    <cfRule type="notContainsBlanks" dxfId="631" priority="644">
      <formula>LEN(TRIM(C1109))&gt;0</formula>
    </cfRule>
  </conditionalFormatting>
  <conditionalFormatting sqref="E1109">
    <cfRule type="notContainsBlanks" dxfId="630" priority="643">
      <formula>LEN(TRIM(E1109))&gt;0</formula>
    </cfRule>
  </conditionalFormatting>
  <conditionalFormatting sqref="C1113">
    <cfRule type="notContainsBlanks" dxfId="629" priority="642">
      <formula>LEN(TRIM(C1113))&gt;0</formula>
    </cfRule>
  </conditionalFormatting>
  <conditionalFormatting sqref="C1116">
    <cfRule type="notContainsBlanks" dxfId="628" priority="641">
      <formula>LEN(TRIM(C1116))&gt;0</formula>
    </cfRule>
  </conditionalFormatting>
  <conditionalFormatting sqref="E1117">
    <cfRule type="notContainsBlanks" dxfId="627" priority="640">
      <formula>LEN(TRIM(E1117))&gt;0</formula>
    </cfRule>
  </conditionalFormatting>
  <conditionalFormatting sqref="C1130">
    <cfRule type="notContainsBlanks" dxfId="626" priority="638">
      <formula>LEN(TRIM(C1130))&gt;0</formula>
    </cfRule>
  </conditionalFormatting>
  <conditionalFormatting sqref="C1142">
    <cfRule type="notContainsBlanks" dxfId="625" priority="637">
      <formula>LEN(TRIM(C1142))&gt;0</formula>
    </cfRule>
  </conditionalFormatting>
  <conditionalFormatting sqref="E1142">
    <cfRule type="notContainsBlanks" dxfId="624" priority="636">
      <formula>LEN(TRIM(E1142))&gt;0</formula>
    </cfRule>
  </conditionalFormatting>
  <conditionalFormatting sqref="C1137">
    <cfRule type="notContainsBlanks" dxfId="623" priority="635">
      <formula>LEN(TRIM(C1137))&gt;0</formula>
    </cfRule>
  </conditionalFormatting>
  <conditionalFormatting sqref="C1144">
    <cfRule type="notContainsBlanks" dxfId="622" priority="634">
      <formula>LEN(TRIM(C1144))&gt;0</formula>
    </cfRule>
  </conditionalFormatting>
  <conditionalFormatting sqref="C1161">
    <cfRule type="notContainsBlanks" dxfId="621" priority="633">
      <formula>LEN(TRIM(C1161))&gt;0</formula>
    </cfRule>
  </conditionalFormatting>
  <conditionalFormatting sqref="C1162">
    <cfRule type="notContainsBlanks" dxfId="620" priority="632">
      <formula>LEN(TRIM(C1162))&gt;0</formula>
    </cfRule>
  </conditionalFormatting>
  <conditionalFormatting sqref="E1162">
    <cfRule type="notContainsBlanks" dxfId="619" priority="631">
      <formula>LEN(TRIM(E1162))&gt;0</formula>
    </cfRule>
  </conditionalFormatting>
  <conditionalFormatting sqref="D1163">
    <cfRule type="notContainsBlanks" dxfId="618" priority="629">
      <formula>LEN(TRIM(D1163))&gt;0</formula>
    </cfRule>
  </conditionalFormatting>
  <conditionalFormatting sqref="C1163">
    <cfRule type="notContainsBlanks" dxfId="617" priority="630">
      <formula>LEN(TRIM(C1163))&gt;0</formula>
    </cfRule>
  </conditionalFormatting>
  <conditionalFormatting sqref="E1163">
    <cfRule type="notContainsBlanks" dxfId="616" priority="628">
      <formula>LEN(TRIM(E1163))&gt;0</formula>
    </cfRule>
  </conditionalFormatting>
  <conditionalFormatting sqref="C1165:D1165">
    <cfRule type="notContainsBlanks" dxfId="615" priority="627">
      <formula>LEN(TRIM(C1165))&gt;0</formula>
    </cfRule>
  </conditionalFormatting>
  <conditionalFormatting sqref="C1168">
    <cfRule type="notContainsBlanks" dxfId="614" priority="626">
      <formula>LEN(TRIM(C1168))&gt;0</formula>
    </cfRule>
  </conditionalFormatting>
  <conditionalFormatting sqref="C1169:D1169">
    <cfRule type="notContainsBlanks" dxfId="613" priority="625">
      <formula>LEN(TRIM(C1169))&gt;0</formula>
    </cfRule>
  </conditionalFormatting>
  <conditionalFormatting sqref="C1170:D1170">
    <cfRule type="notContainsBlanks" dxfId="612" priority="624">
      <formula>LEN(TRIM(C1170))&gt;0</formula>
    </cfRule>
  </conditionalFormatting>
  <conditionalFormatting sqref="E1170">
    <cfRule type="notContainsBlanks" dxfId="611" priority="623">
      <formula>LEN(TRIM(E1170))&gt;0</formula>
    </cfRule>
  </conditionalFormatting>
  <conditionalFormatting sqref="E1183">
    <cfRule type="notContainsBlanks" dxfId="610" priority="622">
      <formula>LEN(TRIM(E1183))&gt;0</formula>
    </cfRule>
  </conditionalFormatting>
  <conditionalFormatting sqref="C1185">
    <cfRule type="notContainsBlanks" dxfId="609" priority="621">
      <formula>LEN(TRIM(C1185))&gt;0</formula>
    </cfRule>
  </conditionalFormatting>
  <conditionalFormatting sqref="D1191">
    <cfRule type="notContainsBlanks" dxfId="608" priority="619">
      <formula>LEN(TRIM(D1191))&gt;0</formula>
    </cfRule>
  </conditionalFormatting>
  <conditionalFormatting sqref="C1191">
    <cfRule type="notContainsBlanks" dxfId="607" priority="620">
      <formula>LEN(TRIM(C1191))&gt;0</formula>
    </cfRule>
  </conditionalFormatting>
  <conditionalFormatting sqref="E1191">
    <cfRule type="notContainsBlanks" dxfId="606" priority="618">
      <formula>LEN(TRIM(E1191))&gt;0</formula>
    </cfRule>
  </conditionalFormatting>
  <conditionalFormatting sqref="C1195">
    <cfRule type="notContainsBlanks" dxfId="605" priority="617">
      <formula>LEN(TRIM(C1195))&gt;0</formula>
    </cfRule>
  </conditionalFormatting>
  <conditionalFormatting sqref="E1201">
    <cfRule type="notContainsBlanks" dxfId="604" priority="616">
      <formula>LEN(TRIM(E1201))&gt;0</formula>
    </cfRule>
  </conditionalFormatting>
  <conditionalFormatting sqref="E1202">
    <cfRule type="notContainsBlanks" dxfId="603" priority="615">
      <formula>LEN(TRIM(E1202))&gt;0</formula>
    </cfRule>
  </conditionalFormatting>
  <conditionalFormatting sqref="C1206">
    <cfRule type="notContainsBlanks" dxfId="602" priority="614">
      <formula>LEN(TRIM(C1206))&gt;0</formula>
    </cfRule>
  </conditionalFormatting>
  <conditionalFormatting sqref="C1213:D1213">
    <cfRule type="notContainsBlanks" dxfId="601" priority="613">
      <formula>LEN(TRIM(C1213))&gt;0</formula>
    </cfRule>
  </conditionalFormatting>
  <conditionalFormatting sqref="C1212:D1212">
    <cfRule type="notContainsBlanks" dxfId="600" priority="612">
      <formula>LEN(TRIM(C1212))&gt;0</formula>
    </cfRule>
  </conditionalFormatting>
  <conditionalFormatting sqref="E1213">
    <cfRule type="notContainsBlanks" dxfId="599" priority="611">
      <formula>LEN(TRIM(E1213))&gt;0</formula>
    </cfRule>
  </conditionalFormatting>
  <conditionalFormatting sqref="E1212">
    <cfRule type="notContainsBlanks" dxfId="598" priority="610">
      <formula>LEN(TRIM(E1212))&gt;0</formula>
    </cfRule>
  </conditionalFormatting>
  <conditionalFormatting sqref="C1215">
    <cfRule type="notContainsBlanks" dxfId="597" priority="609">
      <formula>LEN(TRIM(C1215))&gt;0</formula>
    </cfRule>
  </conditionalFormatting>
  <conditionalFormatting sqref="C1222">
    <cfRule type="notContainsBlanks" dxfId="596" priority="608">
      <formula>LEN(TRIM(C1222))&gt;0</formula>
    </cfRule>
  </conditionalFormatting>
  <conditionalFormatting sqref="C1223">
    <cfRule type="notContainsBlanks" dxfId="595" priority="607">
      <formula>LEN(TRIM(C1223))&gt;0</formula>
    </cfRule>
  </conditionalFormatting>
  <conditionalFormatting sqref="C1224">
    <cfRule type="notContainsBlanks" dxfId="594" priority="606">
      <formula>LEN(TRIM(C1224))&gt;0</formula>
    </cfRule>
  </conditionalFormatting>
  <conditionalFormatting sqref="D1230">
    <cfRule type="notContainsBlanks" dxfId="593" priority="604">
      <formula>LEN(TRIM(D1230))&gt;0</formula>
    </cfRule>
  </conditionalFormatting>
  <conditionalFormatting sqref="C1230">
    <cfRule type="notContainsBlanks" dxfId="592" priority="605">
      <formula>LEN(TRIM(C1230))&gt;0</formula>
    </cfRule>
  </conditionalFormatting>
  <conditionalFormatting sqref="E1230">
    <cfRule type="notContainsBlanks" dxfId="591" priority="603">
      <formula>LEN(TRIM(E1230))&gt;0</formula>
    </cfRule>
  </conditionalFormatting>
  <conditionalFormatting sqref="C1235:D1235">
    <cfRule type="notContainsBlanks" dxfId="590" priority="602">
      <formula>LEN(TRIM(C1235))&gt;0</formula>
    </cfRule>
  </conditionalFormatting>
  <conditionalFormatting sqref="E1235">
    <cfRule type="notContainsBlanks" dxfId="589" priority="601">
      <formula>LEN(TRIM(E1235))&gt;0</formula>
    </cfRule>
  </conditionalFormatting>
  <conditionalFormatting sqref="C1236">
    <cfRule type="notContainsBlanks" dxfId="588" priority="600">
      <formula>LEN(TRIM(C1236))&gt;0</formula>
    </cfRule>
  </conditionalFormatting>
  <conditionalFormatting sqref="E1236">
    <cfRule type="notContainsBlanks" dxfId="587" priority="599">
      <formula>LEN(TRIM(E1236))&gt;0</formula>
    </cfRule>
  </conditionalFormatting>
  <conditionalFormatting sqref="D1236">
    <cfRule type="notContainsBlanks" dxfId="586" priority="598" stopIfTrue="1">
      <formula>LEN(TRIM(D1236))&gt;0</formula>
    </cfRule>
  </conditionalFormatting>
  <conditionalFormatting sqref="C1237:D1237">
    <cfRule type="notContainsBlanks" dxfId="585" priority="597">
      <formula>LEN(TRIM(C1237))&gt;0</formula>
    </cfRule>
  </conditionalFormatting>
  <conditionalFormatting sqref="C1238:D1238">
    <cfRule type="notContainsBlanks" dxfId="584" priority="596">
      <formula>LEN(TRIM(C1238))&gt;0</formula>
    </cfRule>
  </conditionalFormatting>
  <conditionalFormatting sqref="C1239:D1239">
    <cfRule type="notContainsBlanks" dxfId="583" priority="595">
      <formula>LEN(TRIM(C1239))&gt;0</formula>
    </cfRule>
  </conditionalFormatting>
  <conditionalFormatting sqref="C1240:D1240">
    <cfRule type="notContainsBlanks" dxfId="582" priority="594">
      <formula>LEN(TRIM(C1240))&gt;0</formula>
    </cfRule>
  </conditionalFormatting>
  <conditionalFormatting sqref="E1237">
    <cfRule type="notContainsBlanks" dxfId="581" priority="593">
      <formula>LEN(TRIM(E1237))&gt;0</formula>
    </cfRule>
  </conditionalFormatting>
  <conditionalFormatting sqref="E1238">
    <cfRule type="notContainsBlanks" dxfId="580" priority="592">
      <formula>LEN(TRIM(E1238))&gt;0</formula>
    </cfRule>
  </conditionalFormatting>
  <conditionalFormatting sqref="E1239">
    <cfRule type="notContainsBlanks" dxfId="579" priority="591">
      <formula>LEN(TRIM(E1239))&gt;0</formula>
    </cfRule>
  </conditionalFormatting>
  <conditionalFormatting sqref="E1240">
    <cfRule type="notContainsBlanks" dxfId="578" priority="590">
      <formula>LEN(TRIM(E1240))&gt;0</formula>
    </cfRule>
  </conditionalFormatting>
  <conditionalFormatting sqref="C1249:D1249">
    <cfRule type="notContainsBlanks" dxfId="577" priority="589">
      <formula>LEN(TRIM(C1249))&gt;0</formula>
    </cfRule>
  </conditionalFormatting>
  <conditionalFormatting sqref="E1249">
    <cfRule type="notContainsBlanks" dxfId="576" priority="588">
      <formula>LEN(TRIM(E1249))&gt;0</formula>
    </cfRule>
  </conditionalFormatting>
  <conditionalFormatting sqref="C1250:D1250">
    <cfRule type="notContainsBlanks" dxfId="575" priority="587">
      <formula>LEN(TRIM(C1250))&gt;0</formula>
    </cfRule>
  </conditionalFormatting>
  <conditionalFormatting sqref="E1250">
    <cfRule type="notContainsBlanks" dxfId="574" priority="586">
      <formula>LEN(TRIM(E1250))&gt;0</formula>
    </cfRule>
  </conditionalFormatting>
  <conditionalFormatting sqref="C1251:D1251">
    <cfRule type="notContainsBlanks" dxfId="573" priority="585">
      <formula>LEN(TRIM(C1251))&gt;0</formula>
    </cfRule>
  </conditionalFormatting>
  <conditionalFormatting sqref="E1251">
    <cfRule type="notContainsBlanks" dxfId="572" priority="584">
      <formula>LEN(TRIM(E1251))&gt;0</formula>
    </cfRule>
  </conditionalFormatting>
  <conditionalFormatting sqref="C1252:D1252">
    <cfRule type="notContainsBlanks" dxfId="571" priority="583">
      <formula>LEN(TRIM(C1252))&gt;0</formula>
    </cfRule>
  </conditionalFormatting>
  <conditionalFormatting sqref="E1252">
    <cfRule type="notContainsBlanks" dxfId="570" priority="582">
      <formula>LEN(TRIM(E1252))&gt;0</formula>
    </cfRule>
  </conditionalFormatting>
  <conditionalFormatting sqref="C1256:D1256">
    <cfRule type="notContainsBlanks" dxfId="569" priority="581">
      <formula>LEN(TRIM(C1256))&gt;0</formula>
    </cfRule>
  </conditionalFormatting>
  <conditionalFormatting sqref="E1256">
    <cfRule type="notContainsBlanks" dxfId="568" priority="580">
      <formula>LEN(TRIM(E1256))&gt;0</formula>
    </cfRule>
  </conditionalFormatting>
  <conditionalFormatting sqref="E1257">
    <cfRule type="notContainsBlanks" dxfId="567" priority="579">
      <formula>LEN(TRIM(E1257))&gt;0</formula>
    </cfRule>
  </conditionalFormatting>
  <conditionalFormatting sqref="C1258:D1258">
    <cfRule type="notContainsBlanks" dxfId="566" priority="578">
      <formula>LEN(TRIM(C1258))&gt;0</formula>
    </cfRule>
  </conditionalFormatting>
  <conditionalFormatting sqref="E1258">
    <cfRule type="notContainsBlanks" dxfId="565" priority="577">
      <formula>LEN(TRIM(E1258))&gt;0</formula>
    </cfRule>
  </conditionalFormatting>
  <conditionalFormatting sqref="C1266:D1266">
    <cfRule type="notContainsBlanks" dxfId="564" priority="575">
      <formula>LEN(TRIM(C1266))&gt;0</formula>
    </cfRule>
  </conditionalFormatting>
  <conditionalFormatting sqref="C1265:D1265">
    <cfRule type="notContainsBlanks" dxfId="563" priority="576">
      <formula>LEN(TRIM(C1265))&gt;0</formula>
    </cfRule>
  </conditionalFormatting>
  <conditionalFormatting sqref="E1266">
    <cfRule type="notContainsBlanks" dxfId="562" priority="573">
      <formula>LEN(TRIM(E1266))&gt;0</formula>
    </cfRule>
  </conditionalFormatting>
  <conditionalFormatting sqref="E1265">
    <cfRule type="notContainsBlanks" dxfId="561" priority="574">
      <formula>LEN(TRIM(E1265))&gt;0</formula>
    </cfRule>
  </conditionalFormatting>
  <conditionalFormatting sqref="C1273:D1273">
    <cfRule type="notContainsBlanks" dxfId="560" priority="572">
      <formula>LEN(TRIM(C1273))&gt;0</formula>
    </cfRule>
  </conditionalFormatting>
  <conditionalFormatting sqref="E1273">
    <cfRule type="notContainsBlanks" dxfId="559" priority="571">
      <formula>LEN(TRIM(E1273))&gt;0</formula>
    </cfRule>
  </conditionalFormatting>
  <conditionalFormatting sqref="C1274:D1274">
    <cfRule type="notContainsBlanks" dxfId="558" priority="570">
      <formula>LEN(TRIM(C1274))&gt;0</formula>
    </cfRule>
  </conditionalFormatting>
  <conditionalFormatting sqref="E1274">
    <cfRule type="notContainsBlanks" dxfId="557" priority="569">
      <formula>LEN(TRIM(E1274))&gt;0</formula>
    </cfRule>
  </conditionalFormatting>
  <conditionalFormatting sqref="C1277">
    <cfRule type="notContainsBlanks" dxfId="556" priority="568">
      <formula>LEN(TRIM(C1277))&gt;0</formula>
    </cfRule>
  </conditionalFormatting>
  <conditionalFormatting sqref="C1279:D1279">
    <cfRule type="notContainsBlanks" dxfId="555" priority="567">
      <formula>LEN(TRIM(C1279))&gt;0</formula>
    </cfRule>
  </conditionalFormatting>
  <conditionalFormatting sqref="E1279">
    <cfRule type="notContainsBlanks" dxfId="554" priority="566">
      <formula>LEN(TRIM(E1279))&gt;0</formula>
    </cfRule>
  </conditionalFormatting>
  <conditionalFormatting sqref="C1282">
    <cfRule type="notContainsBlanks" dxfId="553" priority="565">
      <formula>LEN(TRIM(C1282))&gt;0</formula>
    </cfRule>
  </conditionalFormatting>
  <conditionalFormatting sqref="C1284">
    <cfRule type="notContainsBlanks" dxfId="552" priority="564">
      <formula>LEN(TRIM(C1284))&gt;0</formula>
    </cfRule>
  </conditionalFormatting>
  <conditionalFormatting sqref="C1285">
    <cfRule type="notContainsBlanks" dxfId="551" priority="563">
      <formula>LEN(TRIM(C1285))&gt;0</formula>
    </cfRule>
  </conditionalFormatting>
  <conditionalFormatting sqref="C1287">
    <cfRule type="notContainsBlanks" dxfId="550" priority="562">
      <formula>LEN(TRIM(C1287))&gt;0</formula>
    </cfRule>
  </conditionalFormatting>
  <conditionalFormatting sqref="C1288">
    <cfRule type="notContainsBlanks" dxfId="549" priority="561">
      <formula>LEN(TRIM(C1288))&gt;0</formula>
    </cfRule>
  </conditionalFormatting>
  <conditionalFormatting sqref="C1289:D1289">
    <cfRule type="notContainsBlanks" dxfId="548" priority="560">
      <formula>LEN(TRIM(C1289))&gt;0</formula>
    </cfRule>
  </conditionalFormatting>
  <conditionalFormatting sqref="E1289">
    <cfRule type="notContainsBlanks" dxfId="547" priority="559">
      <formula>LEN(TRIM(E1289))&gt;0</formula>
    </cfRule>
  </conditionalFormatting>
  <conditionalFormatting sqref="C1291:D1291">
    <cfRule type="notContainsBlanks" dxfId="546" priority="558">
      <formula>LEN(TRIM(C1291))&gt;0</formula>
    </cfRule>
  </conditionalFormatting>
  <conditionalFormatting sqref="E1291">
    <cfRule type="notContainsBlanks" dxfId="545" priority="557">
      <formula>LEN(TRIM(E1291))&gt;0</formula>
    </cfRule>
  </conditionalFormatting>
  <conditionalFormatting sqref="C1292:D1292">
    <cfRule type="notContainsBlanks" dxfId="544" priority="556">
      <formula>LEN(TRIM(C1292))&gt;0</formula>
    </cfRule>
  </conditionalFormatting>
  <conditionalFormatting sqref="E1292">
    <cfRule type="notContainsBlanks" dxfId="543" priority="555">
      <formula>LEN(TRIM(E1292))&gt;0</formula>
    </cfRule>
  </conditionalFormatting>
  <conditionalFormatting sqref="C1298:D1298">
    <cfRule type="notContainsBlanks" dxfId="542" priority="554">
      <formula>LEN(TRIM(C1298))&gt;0</formula>
    </cfRule>
  </conditionalFormatting>
  <conditionalFormatting sqref="E1298">
    <cfRule type="notContainsBlanks" dxfId="541" priority="553">
      <formula>LEN(TRIM(E1298))&gt;0</formula>
    </cfRule>
  </conditionalFormatting>
  <conditionalFormatting sqref="C1299:D1299">
    <cfRule type="notContainsBlanks" dxfId="540" priority="552">
      <formula>LEN(TRIM(C1299))&gt;0</formula>
    </cfRule>
  </conditionalFormatting>
  <conditionalFormatting sqref="E1299">
    <cfRule type="notContainsBlanks" dxfId="539" priority="551">
      <formula>LEN(TRIM(E1299))&gt;0</formula>
    </cfRule>
  </conditionalFormatting>
  <conditionalFormatting sqref="C1300:D1300">
    <cfRule type="notContainsBlanks" dxfId="538" priority="550">
      <formula>LEN(TRIM(C1300))&gt;0</formula>
    </cfRule>
  </conditionalFormatting>
  <conditionalFormatting sqref="E1300">
    <cfRule type="notContainsBlanks" dxfId="537" priority="549">
      <formula>LEN(TRIM(E1300))&gt;0</formula>
    </cfRule>
  </conditionalFormatting>
  <conditionalFormatting sqref="E1295">
    <cfRule type="notContainsBlanks" dxfId="536" priority="548">
      <formula>LEN(TRIM(E1295))&gt;0</formula>
    </cfRule>
  </conditionalFormatting>
  <conditionalFormatting sqref="C1302:D1302">
    <cfRule type="notContainsBlanks" dxfId="535" priority="547">
      <formula>LEN(TRIM(C1302))&gt;0</formula>
    </cfRule>
  </conditionalFormatting>
  <conditionalFormatting sqref="E1302">
    <cfRule type="notContainsBlanks" dxfId="534" priority="546">
      <formula>LEN(TRIM(E1302))&gt;0</formula>
    </cfRule>
  </conditionalFormatting>
  <conditionalFormatting sqref="C1303:D1303">
    <cfRule type="notContainsBlanks" dxfId="533" priority="545">
      <formula>LEN(TRIM(C1303))&gt;0</formula>
    </cfRule>
  </conditionalFormatting>
  <conditionalFormatting sqref="E1303">
    <cfRule type="notContainsBlanks" dxfId="532" priority="544">
      <formula>LEN(TRIM(E1303))&gt;0</formula>
    </cfRule>
  </conditionalFormatting>
  <conditionalFormatting sqref="C1304:D1304">
    <cfRule type="notContainsBlanks" dxfId="531" priority="543">
      <formula>LEN(TRIM(C1304))&gt;0</formula>
    </cfRule>
  </conditionalFormatting>
  <conditionalFormatting sqref="E1304">
    <cfRule type="notContainsBlanks" dxfId="530" priority="542">
      <formula>LEN(TRIM(E1304))&gt;0</formula>
    </cfRule>
  </conditionalFormatting>
  <conditionalFormatting sqref="C1306">
    <cfRule type="notContainsBlanks" dxfId="529" priority="541">
      <formula>LEN(TRIM(C1306))&gt;0</formula>
    </cfRule>
  </conditionalFormatting>
  <conditionalFormatting sqref="E1306">
    <cfRule type="notContainsBlanks" dxfId="528" priority="540">
      <formula>LEN(TRIM(E1306))&gt;0</formula>
    </cfRule>
  </conditionalFormatting>
  <conditionalFormatting sqref="C1313:D1313">
    <cfRule type="notContainsBlanks" dxfId="527" priority="539">
      <formula>LEN(TRIM(C1313))&gt;0</formula>
    </cfRule>
  </conditionalFormatting>
  <conditionalFormatting sqref="E1313">
    <cfRule type="notContainsBlanks" dxfId="526" priority="538">
      <formula>LEN(TRIM(E1313))&gt;0</formula>
    </cfRule>
  </conditionalFormatting>
  <conditionalFormatting sqref="C1315:D1315">
    <cfRule type="notContainsBlanks" dxfId="525" priority="537">
      <formula>LEN(TRIM(C1315))&gt;0</formula>
    </cfRule>
  </conditionalFormatting>
  <conditionalFormatting sqref="E1315">
    <cfRule type="notContainsBlanks" dxfId="524" priority="536">
      <formula>LEN(TRIM(E1315))&gt;0</formula>
    </cfRule>
  </conditionalFormatting>
  <conditionalFormatting sqref="C1316:D1316">
    <cfRule type="notContainsBlanks" dxfId="523" priority="535">
      <formula>LEN(TRIM(C1316))&gt;0</formula>
    </cfRule>
  </conditionalFormatting>
  <conditionalFormatting sqref="E1316">
    <cfRule type="notContainsBlanks" dxfId="522" priority="534">
      <formula>LEN(TRIM(E1316))&gt;0</formula>
    </cfRule>
  </conditionalFormatting>
  <conditionalFormatting sqref="E1314">
    <cfRule type="notContainsBlanks" dxfId="521" priority="533">
      <formula>LEN(TRIM(E1314))&gt;0</formula>
    </cfRule>
  </conditionalFormatting>
  <conditionalFormatting sqref="E1317">
    <cfRule type="notContainsBlanks" dxfId="520" priority="532">
      <formula>LEN(TRIM(E1317))&gt;0</formula>
    </cfRule>
  </conditionalFormatting>
  <conditionalFormatting sqref="D1322">
    <cfRule type="notContainsBlanks" dxfId="519" priority="530">
      <formula>LEN(TRIM(D1322))&gt;0</formula>
    </cfRule>
  </conditionalFormatting>
  <conditionalFormatting sqref="C1322">
    <cfRule type="notContainsBlanks" dxfId="518" priority="531">
      <formula>LEN(TRIM(C1322))&gt;0</formula>
    </cfRule>
  </conditionalFormatting>
  <conditionalFormatting sqref="E1322">
    <cfRule type="notContainsBlanks" dxfId="517" priority="529">
      <formula>LEN(TRIM(E1322))&gt;0</formula>
    </cfRule>
  </conditionalFormatting>
  <conditionalFormatting sqref="C1323:D1323">
    <cfRule type="notContainsBlanks" dxfId="516" priority="528">
      <formula>LEN(TRIM(C1323))&gt;0</formula>
    </cfRule>
  </conditionalFormatting>
  <conditionalFormatting sqref="E1323">
    <cfRule type="notContainsBlanks" dxfId="515" priority="527">
      <formula>LEN(TRIM(E1323))&gt;0</formula>
    </cfRule>
  </conditionalFormatting>
  <conditionalFormatting sqref="C1326">
    <cfRule type="notContainsBlanks" dxfId="514" priority="526">
      <formula>LEN(TRIM(C1326))&gt;0</formula>
    </cfRule>
  </conditionalFormatting>
  <conditionalFormatting sqref="E1326">
    <cfRule type="notContainsBlanks" dxfId="513" priority="525">
      <formula>LEN(TRIM(E1326))&gt;0</formula>
    </cfRule>
  </conditionalFormatting>
  <conditionalFormatting sqref="D1326">
    <cfRule type="notContainsBlanks" dxfId="512" priority="524" stopIfTrue="1">
      <formula>LEN(TRIM(D1326))&gt;0</formula>
    </cfRule>
  </conditionalFormatting>
  <conditionalFormatting sqref="C1341:D1341">
    <cfRule type="notContainsBlanks" dxfId="511" priority="523">
      <formula>LEN(TRIM(C1341))&gt;0</formula>
    </cfRule>
  </conditionalFormatting>
  <conditionalFormatting sqref="E1341">
    <cfRule type="notContainsBlanks" dxfId="510" priority="522">
      <formula>LEN(TRIM(E1341))&gt;0</formula>
    </cfRule>
  </conditionalFormatting>
  <conditionalFormatting sqref="C1340:D1340">
    <cfRule type="notContainsBlanks" dxfId="509" priority="521">
      <formula>LEN(TRIM(C1340))&gt;0</formula>
    </cfRule>
  </conditionalFormatting>
  <conditionalFormatting sqref="E1340">
    <cfRule type="notContainsBlanks" dxfId="508" priority="520">
      <formula>LEN(TRIM(E1340))&gt;0</formula>
    </cfRule>
  </conditionalFormatting>
  <conditionalFormatting sqref="E1342">
    <cfRule type="notContainsBlanks" dxfId="507" priority="519">
      <formula>LEN(TRIM(E1342))&gt;0</formula>
    </cfRule>
  </conditionalFormatting>
  <conditionalFormatting sqref="E1343">
    <cfRule type="notContainsBlanks" dxfId="506" priority="518">
      <formula>LEN(TRIM(E1343))&gt;0</formula>
    </cfRule>
  </conditionalFormatting>
  <conditionalFormatting sqref="C1346:D1346">
    <cfRule type="notContainsBlanks" dxfId="505" priority="517">
      <formula>LEN(TRIM(C1346))&gt;0</formula>
    </cfRule>
  </conditionalFormatting>
  <conditionalFormatting sqref="E1346">
    <cfRule type="notContainsBlanks" dxfId="504" priority="516">
      <formula>LEN(TRIM(E1346))&gt;0</formula>
    </cfRule>
  </conditionalFormatting>
  <conditionalFormatting sqref="C1348">
    <cfRule type="notContainsBlanks" dxfId="503" priority="515">
      <formula>LEN(TRIM(C1348))&gt;0</formula>
    </cfRule>
  </conditionalFormatting>
  <conditionalFormatting sqref="C1351:D1351">
    <cfRule type="notContainsBlanks" dxfId="502" priority="514">
      <formula>LEN(TRIM(C1351))&gt;0</formula>
    </cfRule>
  </conditionalFormatting>
  <conditionalFormatting sqref="E1351">
    <cfRule type="notContainsBlanks" dxfId="501" priority="513">
      <formula>LEN(TRIM(E1351))&gt;0</formula>
    </cfRule>
  </conditionalFormatting>
  <conditionalFormatting sqref="C1353">
    <cfRule type="notContainsBlanks" dxfId="500" priority="511">
      <formula>LEN(TRIM(C1353))&gt;0</formula>
    </cfRule>
  </conditionalFormatting>
  <conditionalFormatting sqref="C1352">
    <cfRule type="notContainsBlanks" dxfId="499" priority="510">
      <formula>LEN(TRIM(C1352))&gt;0</formula>
    </cfRule>
  </conditionalFormatting>
  <conditionalFormatting sqref="C1354:D1354">
    <cfRule type="notContainsBlanks" dxfId="498" priority="509">
      <formula>LEN(TRIM(C1354))&gt;0</formula>
    </cfRule>
  </conditionalFormatting>
  <conditionalFormatting sqref="E1354">
    <cfRule type="notContainsBlanks" dxfId="497" priority="508">
      <formula>LEN(TRIM(E1354))&gt;0</formula>
    </cfRule>
  </conditionalFormatting>
  <conditionalFormatting sqref="E1356">
    <cfRule type="notContainsBlanks" dxfId="496" priority="507">
      <formula>LEN(TRIM(E1356))&gt;0</formula>
    </cfRule>
  </conditionalFormatting>
  <conditionalFormatting sqref="C1357">
    <cfRule type="notContainsBlanks" dxfId="495" priority="506">
      <formula>LEN(TRIM(C1357))&gt;0</formula>
    </cfRule>
  </conditionalFormatting>
  <conditionalFormatting sqref="E1357">
    <cfRule type="notContainsBlanks" dxfId="494" priority="505">
      <formula>LEN(TRIM(E1357))&gt;0</formula>
    </cfRule>
  </conditionalFormatting>
  <conditionalFormatting sqref="D1357">
    <cfRule type="notContainsBlanks" dxfId="493" priority="504" stopIfTrue="1">
      <formula>LEN(TRIM(D1357))&gt;0</formula>
    </cfRule>
  </conditionalFormatting>
  <conditionalFormatting sqref="E1358">
    <cfRule type="notContainsBlanks" dxfId="492" priority="503">
      <formula>LEN(TRIM(E1358))&gt;0</formula>
    </cfRule>
  </conditionalFormatting>
  <conditionalFormatting sqref="E1359">
    <cfRule type="notContainsBlanks" dxfId="491" priority="502">
      <formula>LEN(TRIM(E1359))&gt;0</formula>
    </cfRule>
  </conditionalFormatting>
  <conditionalFormatting sqref="C1362:D1362">
    <cfRule type="notContainsBlanks" dxfId="490" priority="501">
      <formula>LEN(TRIM(C1362))&gt;0</formula>
    </cfRule>
  </conditionalFormatting>
  <conditionalFormatting sqref="E1362">
    <cfRule type="notContainsBlanks" dxfId="489" priority="500">
      <formula>LEN(TRIM(E1362))&gt;0</formula>
    </cfRule>
  </conditionalFormatting>
  <conditionalFormatting sqref="C1366">
    <cfRule type="notContainsBlanks" dxfId="488" priority="499">
      <formula>LEN(TRIM(C1366))&gt;0</formula>
    </cfRule>
  </conditionalFormatting>
  <conditionalFormatting sqref="C1368">
    <cfRule type="notContainsBlanks" dxfId="487" priority="498">
      <formula>LEN(TRIM(C1368))&gt;0</formula>
    </cfRule>
  </conditionalFormatting>
  <conditionalFormatting sqref="E1368">
    <cfRule type="notContainsBlanks" dxfId="486" priority="497">
      <formula>LEN(TRIM(E1368))&gt;0</formula>
    </cfRule>
  </conditionalFormatting>
  <conditionalFormatting sqref="C1369">
    <cfRule type="notContainsBlanks" dxfId="485" priority="496">
      <formula>LEN(TRIM(C1369))&gt;0</formula>
    </cfRule>
  </conditionalFormatting>
  <conditionalFormatting sqref="E1369">
    <cfRule type="notContainsBlanks" dxfId="484" priority="495">
      <formula>LEN(TRIM(E1369))&gt;0</formula>
    </cfRule>
  </conditionalFormatting>
  <conditionalFormatting sqref="E1371">
    <cfRule type="notContainsBlanks" dxfId="483" priority="494">
      <formula>LEN(TRIM(E1371))&gt;0</formula>
    </cfRule>
  </conditionalFormatting>
  <conditionalFormatting sqref="E1372">
    <cfRule type="notContainsBlanks" dxfId="482" priority="493">
      <formula>LEN(TRIM(E1372))&gt;0</formula>
    </cfRule>
  </conditionalFormatting>
  <conditionalFormatting sqref="C1370:D1370">
    <cfRule type="notContainsBlanks" dxfId="481" priority="492">
      <formula>LEN(TRIM(C1370))&gt;0</formula>
    </cfRule>
  </conditionalFormatting>
  <conditionalFormatting sqref="E1370">
    <cfRule type="notContainsBlanks" dxfId="480" priority="491">
      <formula>LEN(TRIM(E1370))&gt;0</formula>
    </cfRule>
  </conditionalFormatting>
  <conditionalFormatting sqref="E1389">
    <cfRule type="notContainsBlanks" dxfId="479" priority="477">
      <formula>LEN(TRIM(E1389))&gt;0</formula>
    </cfRule>
  </conditionalFormatting>
  <conditionalFormatting sqref="C1373:D1373">
    <cfRule type="notContainsBlanks" dxfId="478" priority="487">
      <formula>LEN(TRIM(C1373))&gt;0</formula>
    </cfRule>
  </conditionalFormatting>
  <conditionalFormatting sqref="E1373">
    <cfRule type="notContainsBlanks" dxfId="477" priority="486">
      <formula>LEN(TRIM(E1373))&gt;0</formula>
    </cfRule>
  </conditionalFormatting>
  <conditionalFormatting sqref="E1384">
    <cfRule type="notContainsBlanks" dxfId="476" priority="485">
      <formula>LEN(TRIM(E1384))&gt;0</formula>
    </cfRule>
  </conditionalFormatting>
  <conditionalFormatting sqref="E1383">
    <cfRule type="notContainsBlanks" dxfId="475" priority="484">
      <formula>LEN(TRIM(E1383))&gt;0</formula>
    </cfRule>
  </conditionalFormatting>
  <conditionalFormatting sqref="C1386:D1386">
    <cfRule type="notContainsBlanks" dxfId="474" priority="483">
      <formula>LEN(TRIM(C1386))&gt;0</formula>
    </cfRule>
  </conditionalFormatting>
  <conditionalFormatting sqref="E1386">
    <cfRule type="notContainsBlanks" dxfId="473" priority="482">
      <formula>LEN(TRIM(E1386))&gt;0</formula>
    </cfRule>
  </conditionalFormatting>
  <conditionalFormatting sqref="E1387">
    <cfRule type="notContainsBlanks" dxfId="472" priority="481">
      <formula>LEN(TRIM(E1387))&gt;0</formula>
    </cfRule>
  </conditionalFormatting>
  <conditionalFormatting sqref="C1388:D1388">
    <cfRule type="notContainsBlanks" dxfId="471" priority="480">
      <formula>LEN(TRIM(C1388))&gt;0</formula>
    </cfRule>
  </conditionalFormatting>
  <conditionalFormatting sqref="E1388">
    <cfRule type="notContainsBlanks" dxfId="470" priority="479">
      <formula>LEN(TRIM(E1388))&gt;0</formula>
    </cfRule>
  </conditionalFormatting>
  <conditionalFormatting sqref="C1389">
    <cfRule type="notContainsBlanks" dxfId="469" priority="478">
      <formula>LEN(TRIM(C1389))&gt;0</formula>
    </cfRule>
  </conditionalFormatting>
  <conditionalFormatting sqref="C1390:D1390">
    <cfRule type="notContainsBlanks" dxfId="468" priority="476">
      <formula>LEN(TRIM(C1390))&gt;0</formula>
    </cfRule>
  </conditionalFormatting>
  <conditionalFormatting sqref="E1390">
    <cfRule type="notContainsBlanks" dxfId="467" priority="475">
      <formula>LEN(TRIM(E1390))&gt;0</formula>
    </cfRule>
  </conditionalFormatting>
  <conditionalFormatting sqref="C1394:D1394">
    <cfRule type="notContainsBlanks" dxfId="466" priority="474">
      <formula>LEN(TRIM(C1394))&gt;0</formula>
    </cfRule>
  </conditionalFormatting>
  <conditionalFormatting sqref="E1394">
    <cfRule type="notContainsBlanks" dxfId="465" priority="473">
      <formula>LEN(TRIM(E1394))&gt;0</formula>
    </cfRule>
  </conditionalFormatting>
  <conditionalFormatting sqref="C1395:D1395">
    <cfRule type="notContainsBlanks" dxfId="464" priority="472">
      <formula>LEN(TRIM(C1395))&gt;0</formula>
    </cfRule>
  </conditionalFormatting>
  <conditionalFormatting sqref="E1395">
    <cfRule type="notContainsBlanks" dxfId="463" priority="471">
      <formula>LEN(TRIM(E1395))&gt;0</formula>
    </cfRule>
  </conditionalFormatting>
  <conditionalFormatting sqref="E1404">
    <cfRule type="notContainsBlanks" dxfId="462" priority="468">
      <formula>LEN(TRIM(E1404))&gt;0</formula>
    </cfRule>
  </conditionalFormatting>
  <conditionalFormatting sqref="C1408:D1408">
    <cfRule type="notContainsBlanks" dxfId="461" priority="467">
      <formula>LEN(TRIM(C1408))&gt;0</formula>
    </cfRule>
  </conditionalFormatting>
  <conditionalFormatting sqref="E1408">
    <cfRule type="notContainsBlanks" dxfId="460" priority="466">
      <formula>LEN(TRIM(E1408))&gt;0</formula>
    </cfRule>
  </conditionalFormatting>
  <conditionalFormatting sqref="C1409">
    <cfRule type="notContainsBlanks" dxfId="459" priority="465">
      <formula>LEN(TRIM(C1409))&gt;0</formula>
    </cfRule>
  </conditionalFormatting>
  <conditionalFormatting sqref="C1410">
    <cfRule type="notContainsBlanks" dxfId="458" priority="464">
      <formula>LEN(TRIM(C1410))&gt;0</formula>
    </cfRule>
  </conditionalFormatting>
  <conditionalFormatting sqref="C1411">
    <cfRule type="notContainsBlanks" dxfId="457" priority="463">
      <formula>LEN(TRIM(C1411))&gt;0</formula>
    </cfRule>
  </conditionalFormatting>
  <conditionalFormatting sqref="C1414:C1415">
    <cfRule type="notContainsBlanks" dxfId="456" priority="462">
      <formula>LEN(TRIM(C1414))&gt;0</formula>
    </cfRule>
  </conditionalFormatting>
  <conditionalFormatting sqref="E1414:E1415">
    <cfRule type="notContainsBlanks" dxfId="455" priority="461">
      <formula>LEN(TRIM(E1414))&gt;0</formula>
    </cfRule>
  </conditionalFormatting>
  <conditionalFormatting sqref="D1414:D1417">
    <cfRule type="notContainsBlanks" dxfId="454" priority="460" stopIfTrue="1">
      <formula>LEN(TRIM(D1414))&gt;0</formula>
    </cfRule>
  </conditionalFormatting>
  <conditionalFormatting sqref="E1416:E1417">
    <cfRule type="notContainsBlanks" dxfId="453" priority="459">
      <formula>LEN(TRIM(E1416))&gt;0</formula>
    </cfRule>
  </conditionalFormatting>
  <conditionalFormatting sqref="C1416:C1417">
    <cfRule type="notContainsBlanks" dxfId="452" priority="458">
      <formula>LEN(TRIM(C1416))&gt;0</formula>
    </cfRule>
  </conditionalFormatting>
  <conditionalFormatting sqref="E1419">
    <cfRule type="notContainsBlanks" dxfId="451" priority="456">
      <formula>LEN(TRIM(E1419))&gt;0</formula>
    </cfRule>
  </conditionalFormatting>
  <conditionalFormatting sqref="C1419">
    <cfRule type="notContainsBlanks" dxfId="450" priority="457">
      <formula>LEN(TRIM(C1419))&gt;0</formula>
    </cfRule>
  </conditionalFormatting>
  <conditionalFormatting sqref="C1424:D1424">
    <cfRule type="notContainsBlanks" dxfId="449" priority="455">
      <formula>LEN(TRIM(C1424))&gt;0</formula>
    </cfRule>
  </conditionalFormatting>
  <conditionalFormatting sqref="E1424">
    <cfRule type="notContainsBlanks" dxfId="448" priority="454">
      <formula>LEN(TRIM(E1424))&gt;0</formula>
    </cfRule>
  </conditionalFormatting>
  <conditionalFormatting sqref="E1439">
    <cfRule type="notContainsBlanks" dxfId="447" priority="452">
      <formula>LEN(TRIM(E1439))&gt;0</formula>
    </cfRule>
  </conditionalFormatting>
  <conditionalFormatting sqref="C1439">
    <cfRule type="notContainsBlanks" dxfId="446" priority="453">
      <formula>LEN(TRIM(C1439))&gt;0</formula>
    </cfRule>
  </conditionalFormatting>
  <conditionalFormatting sqref="C1440:D1440">
    <cfRule type="notContainsBlanks" dxfId="445" priority="451">
      <formula>LEN(TRIM(C1440))&gt;0</formula>
    </cfRule>
  </conditionalFormatting>
  <conditionalFormatting sqref="E1440">
    <cfRule type="notContainsBlanks" dxfId="444" priority="450">
      <formula>LEN(TRIM(E1440))&gt;0</formula>
    </cfRule>
  </conditionalFormatting>
  <conditionalFormatting sqref="C1458">
    <cfRule type="notContainsBlanks" dxfId="443" priority="449">
      <formula>LEN(TRIM(C1458))&gt;0</formula>
    </cfRule>
  </conditionalFormatting>
  <conditionalFormatting sqref="E1458">
    <cfRule type="notContainsBlanks" dxfId="442" priority="448">
      <formula>LEN(TRIM(E1458))&gt;0</formula>
    </cfRule>
  </conditionalFormatting>
  <conditionalFormatting sqref="C1459:D1459">
    <cfRule type="notContainsBlanks" dxfId="441" priority="447">
      <formula>LEN(TRIM(C1459))&gt;0</formula>
    </cfRule>
  </conditionalFormatting>
  <conditionalFormatting sqref="E1459">
    <cfRule type="notContainsBlanks" dxfId="440" priority="446">
      <formula>LEN(TRIM(E1459))&gt;0</formula>
    </cfRule>
  </conditionalFormatting>
  <conditionalFormatting sqref="C1460:D1460">
    <cfRule type="notContainsBlanks" dxfId="439" priority="445">
      <formula>LEN(TRIM(C1460))&gt;0</formula>
    </cfRule>
  </conditionalFormatting>
  <conditionalFormatting sqref="E1460">
    <cfRule type="notContainsBlanks" dxfId="438" priority="444">
      <formula>LEN(TRIM(E1460))&gt;0</formula>
    </cfRule>
  </conditionalFormatting>
  <conditionalFormatting sqref="E1461">
    <cfRule type="notContainsBlanks" dxfId="437" priority="442">
      <formula>LEN(TRIM(E1461))&gt;0</formula>
    </cfRule>
  </conditionalFormatting>
  <conditionalFormatting sqref="C1461">
    <cfRule type="notContainsBlanks" dxfId="436" priority="443">
      <formula>LEN(TRIM(C1461))&gt;0</formula>
    </cfRule>
  </conditionalFormatting>
  <conditionalFormatting sqref="C1466">
    <cfRule type="notContainsBlanks" dxfId="435" priority="441">
      <formula>LEN(TRIM(C1466))&gt;0</formula>
    </cfRule>
  </conditionalFormatting>
  <conditionalFormatting sqref="E1466">
    <cfRule type="notContainsBlanks" dxfId="434" priority="440">
      <formula>LEN(TRIM(E1466))&gt;0</formula>
    </cfRule>
  </conditionalFormatting>
  <conditionalFormatting sqref="C1468:D1468">
    <cfRule type="notContainsBlanks" dxfId="433" priority="439">
      <formula>LEN(TRIM(C1468))&gt;0</formula>
    </cfRule>
  </conditionalFormatting>
  <conditionalFormatting sqref="E1468">
    <cfRule type="notContainsBlanks" dxfId="432" priority="438">
      <formula>LEN(TRIM(E1468))&gt;0</formula>
    </cfRule>
  </conditionalFormatting>
  <conditionalFormatting sqref="C1474:D1474">
    <cfRule type="notContainsBlanks" dxfId="431" priority="437">
      <formula>LEN(TRIM(C1474))&gt;0</formula>
    </cfRule>
  </conditionalFormatting>
  <conditionalFormatting sqref="E1474">
    <cfRule type="notContainsBlanks" dxfId="430" priority="436">
      <formula>LEN(TRIM(E1474))&gt;0</formula>
    </cfRule>
  </conditionalFormatting>
  <conditionalFormatting sqref="C1487:D1487">
    <cfRule type="notContainsBlanks" dxfId="429" priority="435">
      <formula>LEN(TRIM(C1487))&gt;0</formula>
    </cfRule>
  </conditionalFormatting>
  <conditionalFormatting sqref="E1487">
    <cfRule type="notContainsBlanks" dxfId="428" priority="434">
      <formula>LEN(TRIM(E1487))&gt;0</formula>
    </cfRule>
  </conditionalFormatting>
  <conditionalFormatting sqref="C1488:D1488 D1489:D1491">
    <cfRule type="notContainsBlanks" dxfId="427" priority="433">
      <formula>LEN(TRIM(C1488))&gt;0</formula>
    </cfRule>
  </conditionalFormatting>
  <conditionalFormatting sqref="E1488">
    <cfRule type="notContainsBlanks" dxfId="426" priority="432">
      <formula>LEN(TRIM(E1488))&gt;0</formula>
    </cfRule>
  </conditionalFormatting>
  <conditionalFormatting sqref="C1502">
    <cfRule type="notContainsBlanks" dxfId="425" priority="431">
      <formula>LEN(TRIM(C1502))&gt;0</formula>
    </cfRule>
  </conditionalFormatting>
  <conditionalFormatting sqref="D1505">
    <cfRule type="notContainsBlanks" dxfId="424" priority="430">
      <formula>LEN(TRIM(D1505))&gt;0</formula>
    </cfRule>
  </conditionalFormatting>
  <conditionalFormatting sqref="D1507">
    <cfRule type="notContainsBlanks" dxfId="423" priority="429">
      <formula>LEN(TRIM(D1507))&gt;0</formula>
    </cfRule>
  </conditionalFormatting>
  <conditionalFormatting sqref="C1508">
    <cfRule type="notContainsBlanks" dxfId="422" priority="428">
      <formula>LEN(TRIM(C1508))&gt;0</formula>
    </cfRule>
  </conditionalFormatting>
  <conditionalFormatting sqref="D1509">
    <cfRule type="notContainsBlanks" dxfId="421" priority="426">
      <formula>LEN(TRIM(D1509))&gt;0</formula>
    </cfRule>
  </conditionalFormatting>
  <conditionalFormatting sqref="C1509">
    <cfRule type="notContainsBlanks" dxfId="420" priority="427">
      <formula>LEN(TRIM(C1509))&gt;0</formula>
    </cfRule>
  </conditionalFormatting>
  <conditionalFormatting sqref="E1509">
    <cfRule type="notContainsBlanks" dxfId="419" priority="425">
      <formula>LEN(TRIM(E1509))&gt;0</formula>
    </cfRule>
  </conditionalFormatting>
  <conditionalFormatting sqref="C1510:D1510">
    <cfRule type="notContainsBlanks" dxfId="418" priority="424">
      <formula>LEN(TRIM(C1510))&gt;0</formula>
    </cfRule>
  </conditionalFormatting>
  <conditionalFormatting sqref="E1510">
    <cfRule type="notContainsBlanks" dxfId="417" priority="423">
      <formula>LEN(TRIM(E1510))&gt;0</formula>
    </cfRule>
  </conditionalFormatting>
  <conditionalFormatting sqref="D1524">
    <cfRule type="notContainsBlanks" dxfId="416" priority="422">
      <formula>LEN(TRIM(D1524))&gt;0</formula>
    </cfRule>
  </conditionalFormatting>
  <conditionalFormatting sqref="D1518">
    <cfRule type="notContainsBlanks" dxfId="415" priority="420">
      <formula>LEN(TRIM(D1518))&gt;0</formula>
    </cfRule>
  </conditionalFormatting>
  <conditionalFormatting sqref="C1518">
    <cfRule type="notContainsBlanks" dxfId="414" priority="421">
      <formula>LEN(TRIM(C1518))&gt;0</formula>
    </cfRule>
  </conditionalFormatting>
  <conditionalFormatting sqref="E1518">
    <cfRule type="notContainsBlanks" dxfId="413" priority="419">
      <formula>LEN(TRIM(E1518))&gt;0</formula>
    </cfRule>
  </conditionalFormatting>
  <conditionalFormatting sqref="C1528">
    <cfRule type="notContainsBlanks" dxfId="412" priority="418">
      <formula>LEN(TRIM(C1528))&gt;0</formula>
    </cfRule>
  </conditionalFormatting>
  <conditionalFormatting sqref="C1535">
    <cfRule type="notContainsBlanks" dxfId="411" priority="417">
      <formula>LEN(TRIM(C1535))&gt;0</formula>
    </cfRule>
  </conditionalFormatting>
  <conditionalFormatting sqref="C1537">
    <cfRule type="notContainsBlanks" dxfId="410" priority="416">
      <formula>LEN(TRIM(C1537))&gt;0</formula>
    </cfRule>
  </conditionalFormatting>
  <conditionalFormatting sqref="C1538">
    <cfRule type="notContainsBlanks" dxfId="409" priority="415">
      <formula>LEN(TRIM(C1538))&gt;0</formula>
    </cfRule>
  </conditionalFormatting>
  <conditionalFormatting sqref="D1539">
    <cfRule type="notContainsBlanks" dxfId="408" priority="413">
      <formula>LEN(TRIM(D1539))&gt;0</formula>
    </cfRule>
  </conditionalFormatting>
  <conditionalFormatting sqref="C1539">
    <cfRule type="notContainsBlanks" dxfId="407" priority="414">
      <formula>LEN(TRIM(C1539))&gt;0</formula>
    </cfRule>
  </conditionalFormatting>
  <conditionalFormatting sqref="E1539">
    <cfRule type="notContainsBlanks" dxfId="406" priority="412">
      <formula>LEN(TRIM(E1539))&gt;0</formula>
    </cfRule>
  </conditionalFormatting>
  <conditionalFormatting sqref="C1540">
    <cfRule type="notContainsBlanks" dxfId="405" priority="411">
      <formula>LEN(TRIM(C1540))&gt;0</formula>
    </cfRule>
  </conditionalFormatting>
  <conditionalFormatting sqref="E1540">
    <cfRule type="notContainsBlanks" dxfId="404" priority="410">
      <formula>LEN(TRIM(E1540))&gt;0</formula>
    </cfRule>
  </conditionalFormatting>
  <conditionalFormatting sqref="D1540">
    <cfRule type="notContainsBlanks" dxfId="403" priority="409" stopIfTrue="1">
      <formula>LEN(TRIM(D1540))&gt;0</formula>
    </cfRule>
  </conditionalFormatting>
  <conditionalFormatting sqref="D1545">
    <cfRule type="notContainsBlanks" dxfId="402" priority="407">
      <formula>LEN(TRIM(D1545))&gt;0</formula>
    </cfRule>
  </conditionalFormatting>
  <conditionalFormatting sqref="C1545">
    <cfRule type="notContainsBlanks" dxfId="401" priority="408">
      <formula>LEN(TRIM(C1545))&gt;0</formula>
    </cfRule>
  </conditionalFormatting>
  <conditionalFormatting sqref="E1545">
    <cfRule type="notContainsBlanks" dxfId="400" priority="406">
      <formula>LEN(TRIM(E1545))&gt;0</formula>
    </cfRule>
  </conditionalFormatting>
  <conditionalFormatting sqref="D1557">
    <cfRule type="notContainsBlanks" dxfId="399" priority="404">
      <formula>LEN(TRIM(D1557))&gt;0</formula>
    </cfRule>
  </conditionalFormatting>
  <conditionalFormatting sqref="C1557">
    <cfRule type="notContainsBlanks" dxfId="398" priority="405">
      <formula>LEN(TRIM(C1557))&gt;0</formula>
    </cfRule>
  </conditionalFormatting>
  <conditionalFormatting sqref="E1557">
    <cfRule type="notContainsBlanks" dxfId="397" priority="403">
      <formula>LEN(TRIM(E1557))&gt;0</formula>
    </cfRule>
  </conditionalFormatting>
  <conditionalFormatting sqref="C1559:D1559">
    <cfRule type="notContainsBlanks" dxfId="396" priority="402">
      <formula>LEN(TRIM(C1559))&gt;0</formula>
    </cfRule>
  </conditionalFormatting>
  <conditionalFormatting sqref="E1559">
    <cfRule type="notContainsBlanks" dxfId="395" priority="401">
      <formula>LEN(TRIM(E1559))&gt;0</formula>
    </cfRule>
  </conditionalFormatting>
  <conditionalFormatting sqref="D1560">
    <cfRule type="notContainsBlanks" dxfId="394" priority="399">
      <formula>LEN(TRIM(D1560))&gt;0</formula>
    </cfRule>
  </conditionalFormatting>
  <conditionalFormatting sqref="C1560">
    <cfRule type="notContainsBlanks" dxfId="393" priority="400">
      <formula>LEN(TRIM(C1560))&gt;0</formula>
    </cfRule>
  </conditionalFormatting>
  <conditionalFormatting sqref="E1560">
    <cfRule type="notContainsBlanks" dxfId="392" priority="398">
      <formula>LEN(TRIM(E1560))&gt;0</formula>
    </cfRule>
  </conditionalFormatting>
  <conditionalFormatting sqref="C1574">
    <cfRule type="notContainsBlanks" dxfId="391" priority="397">
      <formula>LEN(TRIM(C1574))&gt;0</formula>
    </cfRule>
  </conditionalFormatting>
  <conditionalFormatting sqref="D1574:E1574">
    <cfRule type="notContainsBlanks" dxfId="390" priority="396">
      <formula>LEN(TRIM(D1574))&gt;0</formula>
    </cfRule>
  </conditionalFormatting>
  <conditionalFormatting sqref="C1576">
    <cfRule type="notContainsBlanks" dxfId="389" priority="395">
      <formula>LEN(TRIM(C1576))&gt;0</formula>
    </cfRule>
  </conditionalFormatting>
  <conditionalFormatting sqref="C1577">
    <cfRule type="notContainsBlanks" dxfId="388" priority="394">
      <formula>LEN(TRIM(C1577))&gt;0</formula>
    </cfRule>
  </conditionalFormatting>
  <conditionalFormatting sqref="C1578">
    <cfRule type="notContainsBlanks" dxfId="387" priority="393">
      <formula>LEN(TRIM(C1578))&gt;0</formula>
    </cfRule>
  </conditionalFormatting>
  <conditionalFormatting sqref="D1578:E1578">
    <cfRule type="notContainsBlanks" dxfId="386" priority="392">
      <formula>LEN(TRIM(D1578))&gt;0</formula>
    </cfRule>
  </conditionalFormatting>
  <conditionalFormatting sqref="C1579">
    <cfRule type="notContainsBlanks" dxfId="385" priority="391">
      <formula>LEN(TRIM(C1579))&gt;0</formula>
    </cfRule>
  </conditionalFormatting>
  <conditionalFormatting sqref="C1580">
    <cfRule type="notContainsBlanks" dxfId="384" priority="390">
      <formula>LEN(TRIM(C1580))&gt;0</formula>
    </cfRule>
  </conditionalFormatting>
  <conditionalFormatting sqref="C1581">
    <cfRule type="notContainsBlanks" dxfId="383" priority="389">
      <formula>LEN(TRIM(C1581))&gt;0</formula>
    </cfRule>
  </conditionalFormatting>
  <conditionalFormatting sqref="E1581">
    <cfRule type="notContainsBlanks" dxfId="382" priority="386">
      <formula>LEN(TRIM(E1581))&gt;0</formula>
    </cfRule>
  </conditionalFormatting>
  <conditionalFormatting sqref="D1581">
    <cfRule type="notContainsBlanks" dxfId="381" priority="387">
      <formula>LEN(TRIM(D1581))&gt;0</formula>
    </cfRule>
  </conditionalFormatting>
  <conditionalFormatting sqref="C1590">
    <cfRule type="notContainsBlanks" dxfId="380" priority="385">
      <formula>LEN(TRIM(C1590))&gt;0</formula>
    </cfRule>
  </conditionalFormatting>
  <conditionalFormatting sqref="E1590">
    <cfRule type="notContainsBlanks" dxfId="379" priority="382">
      <formula>LEN(TRIM(E1590))&gt;0</formula>
    </cfRule>
  </conditionalFormatting>
  <conditionalFormatting sqref="D1590">
    <cfRule type="notContainsBlanks" dxfId="378" priority="383">
      <formula>LEN(TRIM(D1590))&gt;0</formula>
    </cfRule>
  </conditionalFormatting>
  <conditionalFormatting sqref="C1597">
    <cfRule type="notContainsBlanks" dxfId="377" priority="381">
      <formula>LEN(TRIM(C1597))&gt;0</formula>
    </cfRule>
  </conditionalFormatting>
  <conditionalFormatting sqref="D1597:E1597">
    <cfRule type="notContainsBlanks" dxfId="376" priority="380">
      <formula>LEN(TRIM(D1597))&gt;0</formula>
    </cfRule>
  </conditionalFormatting>
  <conditionalFormatting sqref="C1599">
    <cfRule type="notContainsBlanks" dxfId="375" priority="379">
      <formula>LEN(TRIM(C1599))&gt;0</formula>
    </cfRule>
  </conditionalFormatting>
  <conditionalFormatting sqref="E1599">
    <cfRule type="notContainsBlanks" dxfId="374" priority="377">
      <formula>LEN(TRIM(E1599))&gt;0</formula>
    </cfRule>
  </conditionalFormatting>
  <conditionalFormatting sqref="D1599">
    <cfRule type="notContainsBlanks" dxfId="373" priority="378">
      <formula>LEN(TRIM(D1599))&gt;0</formula>
    </cfRule>
  </conditionalFormatting>
  <conditionalFormatting sqref="C1603">
    <cfRule type="notContainsBlanks" dxfId="372" priority="376">
      <formula>LEN(TRIM(C1603))&gt;0</formula>
    </cfRule>
  </conditionalFormatting>
  <conditionalFormatting sqref="D1603:E1603">
    <cfRule type="notContainsBlanks" dxfId="371" priority="375">
      <formula>LEN(TRIM(D1603))&gt;0</formula>
    </cfRule>
  </conditionalFormatting>
  <conditionalFormatting sqref="C1610">
    <cfRule type="notContainsBlanks" dxfId="370" priority="374">
      <formula>LEN(TRIM(C1610))&gt;0</formula>
    </cfRule>
  </conditionalFormatting>
  <conditionalFormatting sqref="C1614">
    <cfRule type="notContainsBlanks" dxfId="369" priority="373">
      <formula>LEN(TRIM(C1614))&gt;0</formula>
    </cfRule>
  </conditionalFormatting>
  <conditionalFormatting sqref="C1615">
    <cfRule type="notContainsBlanks" dxfId="368" priority="372">
      <formula>LEN(TRIM(C1615))&gt;0</formula>
    </cfRule>
  </conditionalFormatting>
  <conditionalFormatting sqref="D1615:E1615">
    <cfRule type="notContainsBlanks" dxfId="367" priority="371">
      <formula>LEN(TRIM(D1615))&gt;0</formula>
    </cfRule>
  </conditionalFormatting>
  <conditionalFormatting sqref="C1617">
    <cfRule type="notContainsBlanks" dxfId="366" priority="370">
      <formula>LEN(TRIM(C1617))&gt;0</formula>
    </cfRule>
  </conditionalFormatting>
  <conditionalFormatting sqref="C1622">
    <cfRule type="notContainsBlanks" dxfId="365" priority="369">
      <formula>LEN(TRIM(C1622))&gt;0</formula>
    </cfRule>
  </conditionalFormatting>
  <conditionalFormatting sqref="D1622:E1622">
    <cfRule type="notContainsBlanks" dxfId="364" priority="368">
      <formula>LEN(TRIM(D1622))&gt;0</formula>
    </cfRule>
  </conditionalFormatting>
  <conditionalFormatting sqref="C1624">
    <cfRule type="notContainsBlanks" dxfId="363" priority="367">
      <formula>LEN(TRIM(C1624))&gt;0</formula>
    </cfRule>
  </conditionalFormatting>
  <conditionalFormatting sqref="C1625">
    <cfRule type="notContainsBlanks" dxfId="362" priority="366">
      <formula>LEN(TRIM(C1625))&gt;0</formula>
    </cfRule>
  </conditionalFormatting>
  <conditionalFormatting sqref="C1626">
    <cfRule type="notContainsBlanks" dxfId="361" priority="365">
      <formula>LEN(TRIM(C1626))&gt;0</formula>
    </cfRule>
  </conditionalFormatting>
  <conditionalFormatting sqref="D1626:E1626">
    <cfRule type="notContainsBlanks" dxfId="360" priority="364">
      <formula>LEN(TRIM(D1626))&gt;0</formula>
    </cfRule>
  </conditionalFormatting>
  <conditionalFormatting sqref="C1627">
    <cfRule type="notContainsBlanks" dxfId="359" priority="363">
      <formula>LEN(TRIM(C1627))&gt;0</formula>
    </cfRule>
  </conditionalFormatting>
  <conditionalFormatting sqref="C1634">
    <cfRule type="notContainsBlanks" dxfId="358" priority="362">
      <formula>LEN(TRIM(C1634))&gt;0</formula>
    </cfRule>
  </conditionalFormatting>
  <conditionalFormatting sqref="D1634:E1634">
    <cfRule type="notContainsBlanks" dxfId="357" priority="361">
      <formula>LEN(TRIM(D1634))&gt;0</formula>
    </cfRule>
  </conditionalFormatting>
  <conditionalFormatting sqref="C1638">
    <cfRule type="notContainsBlanks" dxfId="356" priority="360">
      <formula>LEN(TRIM(C1638))&gt;0</formula>
    </cfRule>
  </conditionalFormatting>
  <conditionalFormatting sqref="D1638:E1638">
    <cfRule type="notContainsBlanks" dxfId="355" priority="359">
      <formula>LEN(TRIM(D1638))&gt;0</formula>
    </cfRule>
  </conditionalFormatting>
  <conditionalFormatting sqref="C1637">
    <cfRule type="notContainsBlanks" dxfId="354" priority="358">
      <formula>LEN(TRIM(C1637))&gt;0</formula>
    </cfRule>
  </conditionalFormatting>
  <conditionalFormatting sqref="D1637:E1637">
    <cfRule type="notContainsBlanks" dxfId="353" priority="357">
      <formula>LEN(TRIM(D1637))&gt;0</formula>
    </cfRule>
  </conditionalFormatting>
  <conditionalFormatting sqref="C1636">
    <cfRule type="notContainsBlanks" dxfId="352" priority="356">
      <formula>LEN(TRIM(C1636))&gt;0</formula>
    </cfRule>
  </conditionalFormatting>
  <conditionalFormatting sqref="C1648">
    <cfRule type="notContainsBlanks" dxfId="351" priority="355">
      <formula>LEN(TRIM(C1648))&gt;0</formula>
    </cfRule>
  </conditionalFormatting>
  <conditionalFormatting sqref="C1649">
    <cfRule type="notContainsBlanks" dxfId="350" priority="354">
      <formula>LEN(TRIM(C1649))&gt;0</formula>
    </cfRule>
  </conditionalFormatting>
  <conditionalFormatting sqref="D1649:E1649">
    <cfRule type="notContainsBlanks" dxfId="349" priority="353">
      <formula>LEN(TRIM(D1649))&gt;0</formula>
    </cfRule>
  </conditionalFormatting>
  <conditionalFormatting sqref="C1650">
    <cfRule type="notContainsBlanks" dxfId="348" priority="352">
      <formula>LEN(TRIM(C1650))&gt;0</formula>
    </cfRule>
  </conditionalFormatting>
  <conditionalFormatting sqref="D1650:E1650">
    <cfRule type="notContainsBlanks" dxfId="347" priority="351">
      <formula>LEN(TRIM(D1650))&gt;0</formula>
    </cfRule>
  </conditionalFormatting>
  <conditionalFormatting sqref="E1658">
    <cfRule type="notContainsBlanks" dxfId="346" priority="350">
      <formula>LEN(TRIM(E1658))&gt;0</formula>
    </cfRule>
  </conditionalFormatting>
  <conditionalFormatting sqref="C1670">
    <cfRule type="notContainsBlanks" dxfId="345" priority="349">
      <formula>LEN(TRIM(C1670))&gt;0</formula>
    </cfRule>
  </conditionalFormatting>
  <conditionalFormatting sqref="C1671">
    <cfRule type="notContainsBlanks" dxfId="344" priority="348">
      <formula>LEN(TRIM(C1671))&gt;0</formula>
    </cfRule>
  </conditionalFormatting>
  <conditionalFormatting sqref="D1671:E1671">
    <cfRule type="notContainsBlanks" dxfId="343" priority="347">
      <formula>LEN(TRIM(D1671))&gt;0</formula>
    </cfRule>
  </conditionalFormatting>
  <conditionalFormatting sqref="C1672">
    <cfRule type="notContainsBlanks" dxfId="342" priority="346">
      <formula>LEN(TRIM(C1672))&gt;0</formula>
    </cfRule>
  </conditionalFormatting>
  <conditionalFormatting sqref="C1674">
    <cfRule type="notContainsBlanks" dxfId="341" priority="345">
      <formula>LEN(TRIM(C1674))&gt;0</formula>
    </cfRule>
  </conditionalFormatting>
  <conditionalFormatting sqref="D1674:E1674">
    <cfRule type="notContainsBlanks" dxfId="340" priority="344">
      <formula>LEN(TRIM(D1674))&gt;0</formula>
    </cfRule>
  </conditionalFormatting>
  <conditionalFormatting sqref="C1675">
    <cfRule type="notContainsBlanks" dxfId="339" priority="343">
      <formula>LEN(TRIM(C1675))&gt;0</formula>
    </cfRule>
  </conditionalFormatting>
  <conditionalFormatting sqref="C1679">
    <cfRule type="notContainsBlanks" dxfId="338" priority="342">
      <formula>LEN(TRIM(C1679))&gt;0</formula>
    </cfRule>
  </conditionalFormatting>
  <conditionalFormatting sqref="D1679:E1679">
    <cfRule type="notContainsBlanks" dxfId="337" priority="341">
      <formula>LEN(TRIM(D1679))&gt;0</formula>
    </cfRule>
  </conditionalFormatting>
  <conditionalFormatting sqref="D1682:E1682">
    <cfRule type="notContainsBlanks" dxfId="336" priority="339">
      <formula>LEN(TRIM(D1682))&gt;0</formula>
    </cfRule>
  </conditionalFormatting>
  <conditionalFormatting sqref="C1682">
    <cfRule type="notContainsBlanks" dxfId="335" priority="338">
      <formula>LEN(TRIM(C1682))&gt;0</formula>
    </cfRule>
  </conditionalFormatting>
  <conditionalFormatting sqref="C1688">
    <cfRule type="notContainsBlanks" dxfId="334" priority="337">
      <formula>LEN(TRIM(C1688))&gt;0</formula>
    </cfRule>
  </conditionalFormatting>
  <conditionalFormatting sqref="D1688:E1688">
    <cfRule type="notContainsBlanks" dxfId="333" priority="336">
      <formula>LEN(TRIM(D1688))&gt;0</formula>
    </cfRule>
  </conditionalFormatting>
  <conditionalFormatting sqref="C1687">
    <cfRule type="notContainsBlanks" dxfId="332" priority="335">
      <formula>LEN(TRIM(C1687))&gt;0</formula>
    </cfRule>
  </conditionalFormatting>
  <conditionalFormatting sqref="C1689">
    <cfRule type="notContainsBlanks" dxfId="331" priority="334">
      <formula>LEN(TRIM(C1689))&gt;0</formula>
    </cfRule>
  </conditionalFormatting>
  <conditionalFormatting sqref="D1689:E1689">
    <cfRule type="notContainsBlanks" dxfId="330" priority="333">
      <formula>LEN(TRIM(D1689))&gt;0</formula>
    </cfRule>
  </conditionalFormatting>
  <conditionalFormatting sqref="C1690">
    <cfRule type="notContainsBlanks" dxfId="329" priority="332">
      <formula>LEN(TRIM(C1690))&gt;0</formula>
    </cfRule>
  </conditionalFormatting>
  <conditionalFormatting sqref="D1690:E1690">
    <cfRule type="notContainsBlanks" dxfId="328" priority="331">
      <formula>LEN(TRIM(D1690))&gt;0</formula>
    </cfRule>
  </conditionalFormatting>
  <conditionalFormatting sqref="C1691:C1692">
    <cfRule type="notContainsBlanks" dxfId="327" priority="330">
      <formula>LEN(TRIM(C1691))&gt;0</formula>
    </cfRule>
  </conditionalFormatting>
  <conditionalFormatting sqref="C1693:D1694">
    <cfRule type="notContainsBlanks" dxfId="326" priority="329">
      <formula>LEN(TRIM(C1693))&gt;0</formula>
    </cfRule>
  </conditionalFormatting>
  <conditionalFormatting sqref="D1691:E1692">
    <cfRule type="notContainsBlanks" dxfId="325" priority="328">
      <formula>LEN(TRIM(D1691))&gt;0</formula>
    </cfRule>
  </conditionalFormatting>
  <conditionalFormatting sqref="E1694">
    <cfRule type="notContainsBlanks" dxfId="324" priority="327">
      <formula>LEN(TRIM(E1694))&gt;0</formula>
    </cfRule>
  </conditionalFormatting>
  <conditionalFormatting sqref="E1693">
    <cfRule type="notContainsBlanks" dxfId="323" priority="326">
      <formula>LEN(TRIM(E1693))&gt;0</formula>
    </cfRule>
  </conditionalFormatting>
  <conditionalFormatting sqref="C1697">
    <cfRule type="notContainsBlanks" dxfId="322" priority="325">
      <formula>LEN(TRIM(C1697))&gt;0</formula>
    </cfRule>
  </conditionalFormatting>
  <conditionalFormatting sqref="D1697:E1697">
    <cfRule type="notContainsBlanks" dxfId="321" priority="324">
      <formula>LEN(TRIM(D1697))&gt;0</formula>
    </cfRule>
  </conditionalFormatting>
  <conditionalFormatting sqref="C1698:D1698">
    <cfRule type="notContainsBlanks" dxfId="320" priority="323">
      <formula>LEN(TRIM(C1698))&gt;0</formula>
    </cfRule>
  </conditionalFormatting>
  <conditionalFormatting sqref="E1698">
    <cfRule type="notContainsBlanks" dxfId="319" priority="322">
      <formula>LEN(TRIM(E1698))&gt;0</formula>
    </cfRule>
  </conditionalFormatting>
  <conditionalFormatting sqref="C1699">
    <cfRule type="notContainsBlanks" dxfId="318" priority="321">
      <formula>LEN(TRIM(C1699))&gt;0</formula>
    </cfRule>
  </conditionalFormatting>
  <conditionalFormatting sqref="E1699">
    <cfRule type="notContainsBlanks" dxfId="317" priority="318">
      <formula>LEN(TRIM(E1699))&gt;0</formula>
    </cfRule>
  </conditionalFormatting>
  <conditionalFormatting sqref="D1699:D1702">
    <cfRule type="notContainsBlanks" dxfId="316" priority="319">
      <formula>LEN(TRIM(D1699))&gt;0</formula>
    </cfRule>
  </conditionalFormatting>
  <conditionalFormatting sqref="D1704:D1706">
    <cfRule type="notContainsBlanks" dxfId="315" priority="317">
      <formula>LEN(TRIM(D1704))&gt;0</formula>
    </cfRule>
  </conditionalFormatting>
  <conditionalFormatting sqref="C1713">
    <cfRule type="notContainsBlanks" dxfId="314" priority="316">
      <formula>LEN(TRIM(C1713))&gt;0</formula>
    </cfRule>
  </conditionalFormatting>
  <conditionalFormatting sqref="C1719">
    <cfRule type="notContainsBlanks" dxfId="313" priority="315">
      <formula>LEN(TRIM(C1719))&gt;0</formula>
    </cfRule>
  </conditionalFormatting>
  <conditionalFormatting sqref="D1719:E1719">
    <cfRule type="notContainsBlanks" dxfId="312" priority="314">
      <formula>LEN(TRIM(D1719))&gt;0</formula>
    </cfRule>
  </conditionalFormatting>
  <conditionalFormatting sqref="C1720">
    <cfRule type="notContainsBlanks" dxfId="311" priority="313">
      <formula>LEN(TRIM(C1720))&gt;0</formula>
    </cfRule>
  </conditionalFormatting>
  <conditionalFormatting sqref="D1720:E1720">
    <cfRule type="notContainsBlanks" dxfId="310" priority="312">
      <formula>LEN(TRIM(D1720))&gt;0</formula>
    </cfRule>
  </conditionalFormatting>
  <conditionalFormatting sqref="C1721">
    <cfRule type="notContainsBlanks" dxfId="309" priority="311">
      <formula>LEN(TRIM(C1721))&gt;0</formula>
    </cfRule>
  </conditionalFormatting>
  <conditionalFormatting sqref="D1721:E1721">
    <cfRule type="notContainsBlanks" dxfId="308" priority="310">
      <formula>LEN(TRIM(D1721))&gt;0</formula>
    </cfRule>
  </conditionalFormatting>
  <conditionalFormatting sqref="C1722">
    <cfRule type="notContainsBlanks" dxfId="307" priority="309">
      <formula>LEN(TRIM(C1722))&gt;0</formula>
    </cfRule>
  </conditionalFormatting>
  <conditionalFormatting sqref="D1722:E1722">
    <cfRule type="notContainsBlanks" dxfId="306" priority="308">
      <formula>LEN(TRIM(D1722))&gt;0</formula>
    </cfRule>
  </conditionalFormatting>
  <conditionalFormatting sqref="C1723">
    <cfRule type="notContainsBlanks" dxfId="305" priority="307">
      <formula>LEN(TRIM(C1723))&gt;0</formula>
    </cfRule>
  </conditionalFormatting>
  <conditionalFormatting sqref="D1723:E1723">
    <cfRule type="notContainsBlanks" dxfId="304" priority="306">
      <formula>LEN(TRIM(D1723))&gt;0</formula>
    </cfRule>
  </conditionalFormatting>
  <conditionalFormatting sqref="D1724">
    <cfRule type="notContainsBlanks" dxfId="303" priority="305">
      <formula>LEN(TRIM(D1724))&gt;0</formula>
    </cfRule>
  </conditionalFormatting>
  <conditionalFormatting sqref="D1734">
    <cfRule type="notContainsBlanks" dxfId="302" priority="304">
      <formula>LEN(TRIM(D1734))&gt;0</formula>
    </cfRule>
  </conditionalFormatting>
  <conditionalFormatting sqref="C1736">
    <cfRule type="notContainsBlanks" dxfId="301" priority="303">
      <formula>LEN(TRIM(C1736))&gt;0</formula>
    </cfRule>
  </conditionalFormatting>
  <conditionalFormatting sqref="D1736:E1736">
    <cfRule type="notContainsBlanks" dxfId="300" priority="302">
      <formula>LEN(TRIM(D1736))&gt;0</formula>
    </cfRule>
  </conditionalFormatting>
  <conditionalFormatting sqref="C1737:C1738">
    <cfRule type="notContainsBlanks" dxfId="299" priority="301">
      <formula>LEN(TRIM(C1737))&gt;0</formula>
    </cfRule>
  </conditionalFormatting>
  <conditionalFormatting sqref="D1737:E1738">
    <cfRule type="notContainsBlanks" dxfId="298" priority="300">
      <formula>LEN(TRIM(D1737))&gt;0</formula>
    </cfRule>
  </conditionalFormatting>
  <conditionalFormatting sqref="C1742">
    <cfRule type="notContainsBlanks" dxfId="297" priority="299">
      <formula>LEN(TRIM(C1742))&gt;0</formula>
    </cfRule>
  </conditionalFormatting>
  <conditionalFormatting sqref="D1742:E1742">
    <cfRule type="notContainsBlanks" dxfId="296" priority="298">
      <formula>LEN(TRIM(D1742))&gt;0</formula>
    </cfRule>
  </conditionalFormatting>
  <conditionalFormatting sqref="C1743">
    <cfRule type="notContainsBlanks" dxfId="295" priority="297">
      <formula>LEN(TRIM(C1743))&gt;0</formula>
    </cfRule>
  </conditionalFormatting>
  <conditionalFormatting sqref="D1743:E1743">
    <cfRule type="notContainsBlanks" dxfId="294" priority="296">
      <formula>LEN(TRIM(D1743))&gt;0</formula>
    </cfRule>
  </conditionalFormatting>
  <conditionalFormatting sqref="C1748">
    <cfRule type="notContainsBlanks" dxfId="293" priority="295">
      <formula>LEN(TRIM(C1748))&gt;0</formula>
    </cfRule>
  </conditionalFormatting>
  <conditionalFormatting sqref="D1748:E1748">
    <cfRule type="notContainsBlanks" dxfId="292" priority="294">
      <formula>LEN(TRIM(D1748))&gt;0</formula>
    </cfRule>
  </conditionalFormatting>
  <conditionalFormatting sqref="C1749">
    <cfRule type="notContainsBlanks" dxfId="291" priority="293">
      <formula>LEN(TRIM(C1749))&gt;0</formula>
    </cfRule>
  </conditionalFormatting>
  <conditionalFormatting sqref="D1749:E1749">
    <cfRule type="notContainsBlanks" dxfId="290" priority="292">
      <formula>LEN(TRIM(D1749))&gt;0</formula>
    </cfRule>
  </conditionalFormatting>
  <conditionalFormatting sqref="C1750">
    <cfRule type="notContainsBlanks" dxfId="289" priority="291">
      <formula>LEN(TRIM(C1750))&gt;0</formula>
    </cfRule>
  </conditionalFormatting>
  <conditionalFormatting sqref="D1750:E1750">
    <cfRule type="notContainsBlanks" dxfId="288" priority="290">
      <formula>LEN(TRIM(D1750))&gt;0</formula>
    </cfRule>
  </conditionalFormatting>
  <conditionalFormatting sqref="C1751">
    <cfRule type="notContainsBlanks" dxfId="287" priority="289">
      <formula>LEN(TRIM(C1751))&gt;0</formula>
    </cfRule>
  </conditionalFormatting>
  <conditionalFormatting sqref="E1751">
    <cfRule type="notContainsBlanks" dxfId="286" priority="286">
      <formula>LEN(TRIM(E1751))&gt;0</formula>
    </cfRule>
  </conditionalFormatting>
  <conditionalFormatting sqref="D1751">
    <cfRule type="notContainsBlanks" dxfId="285" priority="287">
      <formula>LEN(TRIM(D1751))&gt;0</formula>
    </cfRule>
  </conditionalFormatting>
  <conditionalFormatting sqref="C1752">
    <cfRule type="notContainsBlanks" dxfId="284" priority="285">
      <formula>LEN(TRIM(C1752))&gt;0</formula>
    </cfRule>
  </conditionalFormatting>
  <conditionalFormatting sqref="E1752">
    <cfRule type="notContainsBlanks" dxfId="283" priority="282">
      <formula>LEN(TRIM(E1752))&gt;0</formula>
    </cfRule>
  </conditionalFormatting>
  <conditionalFormatting sqref="D1752">
    <cfRule type="notContainsBlanks" dxfId="282" priority="283">
      <formula>LEN(TRIM(D1752))&gt;0</formula>
    </cfRule>
  </conditionalFormatting>
  <conditionalFormatting sqref="C1754">
    <cfRule type="notContainsBlanks" dxfId="281" priority="276">
      <formula>LEN(TRIM(C1754))&gt;0</formula>
    </cfRule>
  </conditionalFormatting>
  <conditionalFormatting sqref="D1754:E1754">
    <cfRule type="notContainsBlanks" dxfId="280" priority="275">
      <formula>LEN(TRIM(D1754))&gt;0</formula>
    </cfRule>
  </conditionalFormatting>
  <conditionalFormatting sqref="C1762">
    <cfRule type="notContainsBlanks" dxfId="279" priority="274">
      <formula>LEN(TRIM(C1762))&gt;0</formula>
    </cfRule>
  </conditionalFormatting>
  <conditionalFormatting sqref="D1762:E1762">
    <cfRule type="notContainsBlanks" dxfId="278" priority="273">
      <formula>LEN(TRIM(D1762))&gt;0</formula>
    </cfRule>
  </conditionalFormatting>
  <conditionalFormatting sqref="C1763">
    <cfRule type="notContainsBlanks" dxfId="277" priority="272">
      <formula>LEN(TRIM(C1763))&gt;0</formula>
    </cfRule>
  </conditionalFormatting>
  <conditionalFormatting sqref="D1763:E1763">
    <cfRule type="notContainsBlanks" dxfId="276" priority="271">
      <formula>LEN(TRIM(D1763))&gt;0</formula>
    </cfRule>
  </conditionalFormatting>
  <conditionalFormatting sqref="C1766">
    <cfRule type="notContainsBlanks" dxfId="275" priority="270">
      <formula>LEN(TRIM(C1766))&gt;0</formula>
    </cfRule>
  </conditionalFormatting>
  <conditionalFormatting sqref="D1766:E1766">
    <cfRule type="notContainsBlanks" dxfId="274" priority="269">
      <formula>LEN(TRIM(D1766))&gt;0</formula>
    </cfRule>
  </conditionalFormatting>
  <conditionalFormatting sqref="C1769">
    <cfRule type="notContainsBlanks" dxfId="273" priority="268">
      <formula>LEN(TRIM(C1769))&gt;0</formula>
    </cfRule>
  </conditionalFormatting>
  <conditionalFormatting sqref="E1769">
    <cfRule type="notContainsBlanks" dxfId="272" priority="265">
      <formula>LEN(TRIM(E1769))&gt;0</formula>
    </cfRule>
  </conditionalFormatting>
  <conditionalFormatting sqref="D1769">
    <cfRule type="notContainsBlanks" dxfId="271" priority="266">
      <formula>LEN(TRIM(D1769))&gt;0</formula>
    </cfRule>
  </conditionalFormatting>
  <conditionalFormatting sqref="C1779">
    <cfRule type="notContainsBlanks" dxfId="270" priority="264">
      <formula>LEN(TRIM(C1779))&gt;0</formula>
    </cfRule>
  </conditionalFormatting>
  <conditionalFormatting sqref="D1779:E1779">
    <cfRule type="notContainsBlanks" dxfId="269" priority="263">
      <formula>LEN(TRIM(D1779))&gt;0</formula>
    </cfRule>
  </conditionalFormatting>
  <conditionalFormatting sqref="C1786">
    <cfRule type="notContainsBlanks" dxfId="268" priority="262">
      <formula>LEN(TRIM(C1786))&gt;0</formula>
    </cfRule>
  </conditionalFormatting>
  <conditionalFormatting sqref="D1786:E1786">
    <cfRule type="notContainsBlanks" dxfId="267" priority="261">
      <formula>LEN(TRIM(D1786))&gt;0</formula>
    </cfRule>
  </conditionalFormatting>
  <conditionalFormatting sqref="C1787">
    <cfRule type="notContainsBlanks" dxfId="266" priority="260">
      <formula>LEN(TRIM(C1787))&gt;0</formula>
    </cfRule>
  </conditionalFormatting>
  <conditionalFormatting sqref="D1787:E1787">
    <cfRule type="notContainsBlanks" dxfId="265" priority="259">
      <formula>LEN(TRIM(D1787))&gt;0</formula>
    </cfRule>
  </conditionalFormatting>
  <conditionalFormatting sqref="C1788">
    <cfRule type="notContainsBlanks" dxfId="264" priority="258">
      <formula>LEN(TRIM(C1788))&gt;0</formula>
    </cfRule>
  </conditionalFormatting>
  <conditionalFormatting sqref="D1788:E1788">
    <cfRule type="notContainsBlanks" dxfId="263" priority="257">
      <formula>LEN(TRIM(D1788))&gt;0</formula>
    </cfRule>
  </conditionalFormatting>
  <conditionalFormatting sqref="C1790">
    <cfRule type="notContainsBlanks" dxfId="262" priority="256">
      <formula>LEN(TRIM(C1790))&gt;0</formula>
    </cfRule>
  </conditionalFormatting>
  <conditionalFormatting sqref="D1790:E1790">
    <cfRule type="notContainsBlanks" dxfId="261" priority="255">
      <formula>LEN(TRIM(D1790))&gt;0</formula>
    </cfRule>
  </conditionalFormatting>
  <conditionalFormatting sqref="C1805">
    <cfRule type="notContainsBlanks" dxfId="260" priority="251">
      <formula>LEN(TRIM(C1805))&gt;0</formula>
    </cfRule>
  </conditionalFormatting>
  <conditionalFormatting sqref="D1805:E1805">
    <cfRule type="notContainsBlanks" dxfId="259" priority="250">
      <formula>LEN(TRIM(D1805))&gt;0</formula>
    </cfRule>
  </conditionalFormatting>
  <conditionalFormatting sqref="C1811">
    <cfRule type="notContainsBlanks" dxfId="258" priority="249">
      <formula>LEN(TRIM(C1811))&gt;0</formula>
    </cfRule>
  </conditionalFormatting>
  <conditionalFormatting sqref="D1811:E1811">
    <cfRule type="notContainsBlanks" dxfId="257" priority="248">
      <formula>LEN(TRIM(D1811))&gt;0</formula>
    </cfRule>
  </conditionalFormatting>
  <conditionalFormatting sqref="C1812 E1812">
    <cfRule type="notContainsBlanks" dxfId="256" priority="247">
      <formula>LEN(TRIM(C1812))&gt;0</formula>
    </cfRule>
  </conditionalFormatting>
  <conditionalFormatting sqref="C1819 E1819">
    <cfRule type="notContainsBlanks" dxfId="255" priority="246">
      <formula>LEN(TRIM(C1819))&gt;0</formula>
    </cfRule>
  </conditionalFormatting>
  <conditionalFormatting sqref="C1824">
    <cfRule type="notContainsBlanks" dxfId="254" priority="245">
      <formula>LEN(TRIM(C1824))&gt;0</formula>
    </cfRule>
  </conditionalFormatting>
  <conditionalFormatting sqref="D1824:E1824">
    <cfRule type="notContainsBlanks" dxfId="253" priority="244">
      <formula>LEN(TRIM(D1824))&gt;0</formula>
    </cfRule>
  </conditionalFormatting>
  <conditionalFormatting sqref="C1826">
    <cfRule type="notContainsBlanks" dxfId="252" priority="243">
      <formula>LEN(TRIM(C1826))&gt;0</formula>
    </cfRule>
  </conditionalFormatting>
  <conditionalFormatting sqref="D1826:E1826">
    <cfRule type="notContainsBlanks" dxfId="251" priority="242">
      <formula>LEN(TRIM(D1826))&gt;0</formula>
    </cfRule>
  </conditionalFormatting>
  <conditionalFormatting sqref="C1829 E1829">
    <cfRule type="notContainsBlanks" dxfId="250" priority="241">
      <formula>LEN(TRIM(C1829))&gt;0</formula>
    </cfRule>
  </conditionalFormatting>
  <conditionalFormatting sqref="C1841 E1841">
    <cfRule type="notContainsBlanks" dxfId="249" priority="240">
      <formula>LEN(TRIM(C1841))&gt;0</formula>
    </cfRule>
  </conditionalFormatting>
  <conditionalFormatting sqref="C1845">
    <cfRule type="notContainsBlanks" dxfId="248" priority="239">
      <formula>LEN(TRIM(C1845))&gt;0</formula>
    </cfRule>
  </conditionalFormatting>
  <conditionalFormatting sqref="C1849">
    <cfRule type="notContainsBlanks" dxfId="247" priority="238">
      <formula>LEN(TRIM(C1849))&gt;0</formula>
    </cfRule>
  </conditionalFormatting>
  <conditionalFormatting sqref="D1849:E1849">
    <cfRule type="notContainsBlanks" dxfId="246" priority="237">
      <formula>LEN(TRIM(D1849))&gt;0</formula>
    </cfRule>
  </conditionalFormatting>
  <conditionalFormatting sqref="C1852">
    <cfRule type="notContainsBlanks" dxfId="245" priority="236">
      <formula>LEN(TRIM(C1852))&gt;0</formula>
    </cfRule>
  </conditionalFormatting>
  <conditionalFormatting sqref="D1852:E1852">
    <cfRule type="notContainsBlanks" dxfId="244" priority="235">
      <formula>LEN(TRIM(D1852))&gt;0</formula>
    </cfRule>
  </conditionalFormatting>
  <conditionalFormatting sqref="C1859">
    <cfRule type="notContainsBlanks" dxfId="243" priority="234">
      <formula>LEN(TRIM(C1859))&gt;0</formula>
    </cfRule>
  </conditionalFormatting>
  <conditionalFormatting sqref="D1859:E1859">
    <cfRule type="notContainsBlanks" dxfId="242" priority="233">
      <formula>LEN(TRIM(D1859))&gt;0</formula>
    </cfRule>
  </conditionalFormatting>
  <conditionalFormatting sqref="E1858">
    <cfRule type="notContainsBlanks" dxfId="241" priority="232">
      <formula>LEN(TRIM(E1858))&gt;0</formula>
    </cfRule>
  </conditionalFormatting>
  <conditionalFormatting sqref="C1861:C1862">
    <cfRule type="notContainsBlanks" dxfId="240" priority="231">
      <formula>LEN(TRIM(C1861))&gt;0</formula>
    </cfRule>
  </conditionalFormatting>
  <conditionalFormatting sqref="E1861:E1862">
    <cfRule type="notContainsBlanks" dxfId="239" priority="230">
      <formula>LEN(TRIM(E1861))&gt;0</formula>
    </cfRule>
  </conditionalFormatting>
  <conditionalFormatting sqref="D1861">
    <cfRule type="notContainsBlanks" dxfId="238" priority="229" stopIfTrue="1">
      <formula>LEN(TRIM(D1861))&gt;0</formula>
    </cfRule>
  </conditionalFormatting>
  <conditionalFormatting sqref="D1862">
    <cfRule type="notContainsBlanks" dxfId="237" priority="228" stopIfTrue="1">
      <formula>LEN(TRIM(D1862))&gt;0</formula>
    </cfRule>
  </conditionalFormatting>
  <conditionalFormatting sqref="C1863:C1864">
    <cfRule type="notContainsBlanks" dxfId="236" priority="227">
      <formula>LEN(TRIM(C1863))&gt;0</formula>
    </cfRule>
  </conditionalFormatting>
  <conditionalFormatting sqref="E1863:E1864">
    <cfRule type="notContainsBlanks" dxfId="235" priority="226">
      <formula>LEN(TRIM(E1863))&gt;0</formula>
    </cfRule>
  </conditionalFormatting>
  <conditionalFormatting sqref="D1863">
    <cfRule type="notContainsBlanks" dxfId="234" priority="225" stopIfTrue="1">
      <formula>LEN(TRIM(D1863))&gt;0</formula>
    </cfRule>
  </conditionalFormatting>
  <conditionalFormatting sqref="D1864">
    <cfRule type="notContainsBlanks" dxfId="233" priority="224" stopIfTrue="1">
      <formula>LEN(TRIM(D1864))&gt;0</formula>
    </cfRule>
  </conditionalFormatting>
  <conditionalFormatting sqref="E1870">
    <cfRule type="notContainsBlanks" dxfId="232" priority="223">
      <formula>LEN(TRIM(E1870))&gt;0</formula>
    </cfRule>
  </conditionalFormatting>
  <conditionalFormatting sqref="C1871">
    <cfRule type="notContainsBlanks" dxfId="231" priority="222">
      <formula>LEN(TRIM(C1871))&gt;0</formula>
    </cfRule>
  </conditionalFormatting>
  <conditionalFormatting sqref="D1871:E1871">
    <cfRule type="notContainsBlanks" dxfId="230" priority="221">
      <formula>LEN(TRIM(D1871))&gt;0</formula>
    </cfRule>
  </conditionalFormatting>
  <conditionalFormatting sqref="C1872 E1872">
    <cfRule type="notContainsBlanks" dxfId="229" priority="220">
      <formula>LEN(TRIM(C1872))&gt;0</formula>
    </cfRule>
  </conditionalFormatting>
  <conditionalFormatting sqref="C1876">
    <cfRule type="notContainsBlanks" dxfId="228" priority="219">
      <formula>LEN(TRIM(C1876))&gt;0</formula>
    </cfRule>
  </conditionalFormatting>
  <conditionalFormatting sqref="D1876:E1876">
    <cfRule type="notContainsBlanks" dxfId="227" priority="218">
      <formula>LEN(TRIM(D1876))&gt;0</formula>
    </cfRule>
  </conditionalFormatting>
  <conditionalFormatting sqref="C1878">
    <cfRule type="notContainsBlanks" dxfId="226" priority="217">
      <formula>LEN(TRIM(C1878))&gt;0</formula>
    </cfRule>
  </conditionalFormatting>
  <conditionalFormatting sqref="D1878:E1878">
    <cfRule type="notContainsBlanks" dxfId="225" priority="216">
      <formula>LEN(TRIM(D1878))&gt;0</formula>
    </cfRule>
  </conditionalFormatting>
  <conditionalFormatting sqref="C1879">
    <cfRule type="notContainsBlanks" dxfId="224" priority="215">
      <formula>LEN(TRIM(C1879))&gt;0</formula>
    </cfRule>
  </conditionalFormatting>
  <conditionalFormatting sqref="D1879:E1879">
    <cfRule type="notContainsBlanks" dxfId="223" priority="214">
      <formula>LEN(TRIM(D1879))&gt;0</formula>
    </cfRule>
  </conditionalFormatting>
  <conditionalFormatting sqref="C1882">
    <cfRule type="notContainsBlanks" dxfId="222" priority="213">
      <formula>LEN(TRIM(C1882))&gt;0</formula>
    </cfRule>
  </conditionalFormatting>
  <conditionalFormatting sqref="E1882">
    <cfRule type="notContainsBlanks" dxfId="221" priority="210">
      <formula>LEN(TRIM(E1882))&gt;0</formula>
    </cfRule>
  </conditionalFormatting>
  <conditionalFormatting sqref="D1882">
    <cfRule type="notContainsBlanks" dxfId="220" priority="211">
      <formula>LEN(TRIM(D1882))&gt;0</formula>
    </cfRule>
  </conditionalFormatting>
  <conditionalFormatting sqref="C1892">
    <cfRule type="notContainsBlanks" dxfId="219" priority="209">
      <formula>LEN(TRIM(C1892))&gt;0</formula>
    </cfRule>
  </conditionalFormatting>
  <conditionalFormatting sqref="D1892:E1892">
    <cfRule type="notContainsBlanks" dxfId="218" priority="208">
      <formula>LEN(TRIM(D1892))&gt;0</formula>
    </cfRule>
  </conditionalFormatting>
  <conditionalFormatting sqref="C1896">
    <cfRule type="notContainsBlanks" dxfId="217" priority="207">
      <formula>LEN(TRIM(C1896))&gt;0</formula>
    </cfRule>
  </conditionalFormatting>
  <conditionalFormatting sqref="D1896:E1896">
    <cfRule type="notContainsBlanks" dxfId="216" priority="206">
      <formula>LEN(TRIM(D1896))&gt;0</formula>
    </cfRule>
  </conditionalFormatting>
  <conditionalFormatting sqref="C1899">
    <cfRule type="notContainsBlanks" dxfId="215" priority="203">
      <formula>LEN(TRIM(C1899))&gt;0</formula>
    </cfRule>
  </conditionalFormatting>
  <conditionalFormatting sqref="D1899:E1899">
    <cfRule type="notContainsBlanks" dxfId="214" priority="202">
      <formula>LEN(TRIM(D1899))&gt;0</formula>
    </cfRule>
  </conditionalFormatting>
  <conditionalFormatting sqref="C1900">
    <cfRule type="notContainsBlanks" dxfId="213" priority="201">
      <formula>LEN(TRIM(C1900))&gt;0</formula>
    </cfRule>
  </conditionalFormatting>
  <conditionalFormatting sqref="E1900">
    <cfRule type="notContainsBlanks" dxfId="212" priority="200">
      <formula>LEN(TRIM(E1900))&gt;0</formula>
    </cfRule>
  </conditionalFormatting>
  <conditionalFormatting sqref="D1900">
    <cfRule type="notContainsBlanks" dxfId="211" priority="199" stopIfTrue="1">
      <formula>LEN(TRIM(D1900))&gt;0</formula>
    </cfRule>
  </conditionalFormatting>
  <conditionalFormatting sqref="C1901">
    <cfRule type="notContainsBlanks" dxfId="210" priority="198">
      <formula>LEN(TRIM(C1901))&gt;0</formula>
    </cfRule>
  </conditionalFormatting>
  <conditionalFormatting sqref="E1901">
    <cfRule type="notContainsBlanks" dxfId="209" priority="197">
      <formula>LEN(TRIM(E1901))&gt;0</formula>
    </cfRule>
  </conditionalFormatting>
  <conditionalFormatting sqref="D1901">
    <cfRule type="notContainsBlanks" dxfId="208" priority="196" stopIfTrue="1">
      <formula>LEN(TRIM(D1901))&gt;0</formula>
    </cfRule>
  </conditionalFormatting>
  <conditionalFormatting sqref="C1902">
    <cfRule type="notContainsBlanks" dxfId="207" priority="195">
      <formula>LEN(TRIM(C1902))&gt;0</formula>
    </cfRule>
  </conditionalFormatting>
  <conditionalFormatting sqref="D1902:E1902">
    <cfRule type="notContainsBlanks" dxfId="206" priority="194">
      <formula>LEN(TRIM(D1902))&gt;0</formula>
    </cfRule>
  </conditionalFormatting>
  <conditionalFormatting sqref="E1903">
    <cfRule type="notContainsBlanks" dxfId="205" priority="193">
      <formula>LEN(TRIM(E1903))&gt;0</formula>
    </cfRule>
  </conditionalFormatting>
  <conditionalFormatting sqref="C1904">
    <cfRule type="notContainsBlanks" dxfId="204" priority="192">
      <formula>LEN(TRIM(C1904))&gt;0</formula>
    </cfRule>
  </conditionalFormatting>
  <conditionalFormatting sqref="E1904">
    <cfRule type="notContainsBlanks" dxfId="203" priority="189">
      <formula>LEN(TRIM(E1904))&gt;0</formula>
    </cfRule>
  </conditionalFormatting>
  <conditionalFormatting sqref="D1904">
    <cfRule type="notContainsBlanks" dxfId="202" priority="190">
      <formula>LEN(TRIM(D1904))&gt;0</formula>
    </cfRule>
  </conditionalFormatting>
  <conditionalFormatting sqref="C1897">
    <cfRule type="notContainsBlanks" dxfId="201" priority="188">
      <formula>LEN(TRIM(C1897))&gt;0</formula>
    </cfRule>
  </conditionalFormatting>
  <conditionalFormatting sqref="E1897">
    <cfRule type="notContainsBlanks" dxfId="200" priority="185">
      <formula>LEN(TRIM(E1897))&gt;0</formula>
    </cfRule>
  </conditionalFormatting>
  <conditionalFormatting sqref="D1897">
    <cfRule type="notContainsBlanks" dxfId="199" priority="186">
      <formula>LEN(TRIM(D1897))&gt;0</formula>
    </cfRule>
  </conditionalFormatting>
  <conditionalFormatting sqref="C1910">
    <cfRule type="notContainsBlanks" dxfId="198" priority="184">
      <formula>LEN(TRIM(C1910))&gt;0</formula>
    </cfRule>
  </conditionalFormatting>
  <conditionalFormatting sqref="E1910">
    <cfRule type="notContainsBlanks" dxfId="197" priority="182">
      <formula>LEN(TRIM(E1910))&gt;0</formula>
    </cfRule>
  </conditionalFormatting>
  <conditionalFormatting sqref="D1910">
    <cfRule type="notContainsBlanks" dxfId="196" priority="183">
      <formula>LEN(TRIM(D1910))&gt;0</formula>
    </cfRule>
  </conditionalFormatting>
  <conditionalFormatting sqref="C1911">
    <cfRule type="notContainsBlanks" dxfId="195" priority="181">
      <formula>LEN(TRIM(C1911))&gt;0</formula>
    </cfRule>
  </conditionalFormatting>
  <conditionalFormatting sqref="D1911:E1911">
    <cfRule type="notContainsBlanks" dxfId="194" priority="180">
      <formula>LEN(TRIM(D1911))&gt;0</formula>
    </cfRule>
  </conditionalFormatting>
  <conditionalFormatting sqref="C1912">
    <cfRule type="notContainsBlanks" dxfId="193" priority="179">
      <formula>LEN(TRIM(C1912))&gt;0</formula>
    </cfRule>
  </conditionalFormatting>
  <conditionalFormatting sqref="D1912:E1912">
    <cfRule type="notContainsBlanks" dxfId="192" priority="178">
      <formula>LEN(TRIM(D1912))&gt;0</formula>
    </cfRule>
  </conditionalFormatting>
  <conditionalFormatting sqref="C1917">
    <cfRule type="notContainsBlanks" dxfId="191" priority="177">
      <formula>LEN(TRIM(C1917))&gt;0</formula>
    </cfRule>
  </conditionalFormatting>
  <conditionalFormatting sqref="E1917">
    <cfRule type="notContainsBlanks" dxfId="190" priority="176">
      <formula>LEN(TRIM(E1917))&gt;0</formula>
    </cfRule>
  </conditionalFormatting>
  <conditionalFormatting sqref="D1917">
    <cfRule type="notContainsBlanks" dxfId="189" priority="175" stopIfTrue="1">
      <formula>LEN(TRIM(D1917))&gt;0</formula>
    </cfRule>
  </conditionalFormatting>
  <conditionalFormatting sqref="C1918">
    <cfRule type="notContainsBlanks" dxfId="188" priority="174">
      <formula>LEN(TRIM(C1918))&gt;0</formula>
    </cfRule>
  </conditionalFormatting>
  <conditionalFormatting sqref="E1918">
    <cfRule type="notContainsBlanks" dxfId="187" priority="173">
      <formula>LEN(TRIM(E1918))&gt;0</formula>
    </cfRule>
  </conditionalFormatting>
  <conditionalFormatting sqref="D1918">
    <cfRule type="notContainsBlanks" dxfId="186" priority="172" stopIfTrue="1">
      <formula>LEN(TRIM(D1918))&gt;0</formula>
    </cfRule>
  </conditionalFormatting>
  <conditionalFormatting sqref="C1920">
    <cfRule type="notContainsBlanks" dxfId="185" priority="171">
      <formula>LEN(TRIM(C1920))&gt;0</formula>
    </cfRule>
  </conditionalFormatting>
  <conditionalFormatting sqref="C1921">
    <cfRule type="notContainsBlanks" dxfId="184" priority="170">
      <formula>LEN(TRIM(C1921))&gt;0</formula>
    </cfRule>
  </conditionalFormatting>
  <conditionalFormatting sqref="D1921:E1921">
    <cfRule type="notContainsBlanks" dxfId="183" priority="169">
      <formula>LEN(TRIM(D1921))&gt;0</formula>
    </cfRule>
  </conditionalFormatting>
  <conditionalFormatting sqref="C1922">
    <cfRule type="notContainsBlanks" dxfId="182" priority="168">
      <formula>LEN(TRIM(C1922))&gt;0</formula>
    </cfRule>
  </conditionalFormatting>
  <conditionalFormatting sqref="D1922:E1922">
    <cfRule type="notContainsBlanks" dxfId="181" priority="167">
      <formula>LEN(TRIM(D1922))&gt;0</formula>
    </cfRule>
  </conditionalFormatting>
  <conditionalFormatting sqref="C1931">
    <cfRule type="notContainsBlanks" dxfId="180" priority="166">
      <formula>LEN(TRIM(C1931))&gt;0</formula>
    </cfRule>
  </conditionalFormatting>
  <conditionalFormatting sqref="D1931:E1931">
    <cfRule type="notContainsBlanks" dxfId="179" priority="165">
      <formula>LEN(TRIM(D1931))&gt;0</formula>
    </cfRule>
  </conditionalFormatting>
  <conditionalFormatting sqref="C1933">
    <cfRule type="notContainsBlanks" dxfId="178" priority="164">
      <formula>LEN(TRIM(C1933))&gt;0</formula>
    </cfRule>
  </conditionalFormatting>
  <conditionalFormatting sqref="D1933:E1933">
    <cfRule type="notContainsBlanks" dxfId="177" priority="163">
      <formula>LEN(TRIM(D1933))&gt;0</formula>
    </cfRule>
  </conditionalFormatting>
  <conditionalFormatting sqref="C1934">
    <cfRule type="notContainsBlanks" dxfId="176" priority="162">
      <formula>LEN(TRIM(C1934))&gt;0</formula>
    </cfRule>
  </conditionalFormatting>
  <conditionalFormatting sqref="E1934">
    <cfRule type="notContainsBlanks" dxfId="175" priority="160">
      <formula>LEN(TRIM(E1934))&gt;0</formula>
    </cfRule>
  </conditionalFormatting>
  <conditionalFormatting sqref="D1934">
    <cfRule type="notContainsBlanks" dxfId="174" priority="161">
      <formula>LEN(TRIM(D1934))&gt;0</formula>
    </cfRule>
  </conditionalFormatting>
  <conditionalFormatting sqref="C1935">
    <cfRule type="notContainsBlanks" dxfId="173" priority="159">
      <formula>LEN(TRIM(C1935))&gt;0</formula>
    </cfRule>
  </conditionalFormatting>
  <conditionalFormatting sqref="D1935:E1935">
    <cfRule type="notContainsBlanks" dxfId="172" priority="158">
      <formula>LEN(TRIM(D1935))&gt;0</formula>
    </cfRule>
  </conditionalFormatting>
  <conditionalFormatting sqref="C1936">
    <cfRule type="notContainsBlanks" dxfId="171" priority="157">
      <formula>LEN(TRIM(C1936))&gt;0</formula>
    </cfRule>
  </conditionalFormatting>
  <conditionalFormatting sqref="D1936:E1936 E1937:E1946 E1948:E1950 E1956 E1958:E1960 E1966:E1968 E1970 E1972 E1976:E1993 E2015:E2030 E2034:E2037 E2040:E2042 E2050 E2052:E2077 E2079:E2080 E2083:E2084 E2046:E2048">
    <cfRule type="notContainsBlanks" dxfId="170" priority="156">
      <formula>LEN(TRIM(D1936))&gt;0</formula>
    </cfRule>
  </conditionalFormatting>
  <conditionalFormatting sqref="E1953">
    <cfRule type="notContainsBlanks" dxfId="169" priority="152">
      <formula>LEN(TRIM(E1953))&gt;0</formula>
    </cfRule>
  </conditionalFormatting>
  <conditionalFormatting sqref="E1954">
    <cfRule type="notContainsBlanks" dxfId="168" priority="151">
      <formula>LEN(TRIM(E1954))&gt;0</formula>
    </cfRule>
  </conditionalFormatting>
  <conditionalFormatting sqref="E1951:E1952">
    <cfRule type="notContainsBlanks" dxfId="167" priority="153">
      <formula>LEN(TRIM(E1951))&gt;0</formula>
    </cfRule>
  </conditionalFormatting>
  <conditionalFormatting sqref="C1959">
    <cfRule type="notContainsBlanks" dxfId="166" priority="150">
      <formula>LEN(TRIM(C1959))&gt;0</formula>
    </cfRule>
  </conditionalFormatting>
  <conditionalFormatting sqref="E1961">
    <cfRule type="notContainsBlanks" dxfId="165" priority="148">
      <formula>LEN(TRIM(E1961))&gt;0</formula>
    </cfRule>
  </conditionalFormatting>
  <conditionalFormatting sqref="E1963:E1964">
    <cfRule type="notContainsBlanks" dxfId="164" priority="147">
      <formula>LEN(TRIM(E1963))&gt;0</formula>
    </cfRule>
  </conditionalFormatting>
  <conditionalFormatting sqref="C1969">
    <cfRule type="notContainsBlanks" dxfId="163" priority="146">
      <formula>LEN(TRIM(C1969))&gt;0</formula>
    </cfRule>
  </conditionalFormatting>
  <conditionalFormatting sqref="D1969:E1969">
    <cfRule type="notContainsBlanks" dxfId="162" priority="145">
      <formula>LEN(TRIM(D1969))&gt;0</formula>
    </cfRule>
  </conditionalFormatting>
  <conditionalFormatting sqref="C1972">
    <cfRule type="notContainsBlanks" dxfId="161" priority="144">
      <formula>LEN(TRIM(C1972))&gt;0</formula>
    </cfRule>
  </conditionalFormatting>
  <conditionalFormatting sqref="E1973">
    <cfRule type="notContainsBlanks" dxfId="160" priority="143">
      <formula>LEN(TRIM(E1973))&gt;0</formula>
    </cfRule>
  </conditionalFormatting>
  <conditionalFormatting sqref="C1973">
    <cfRule type="notContainsBlanks" dxfId="159" priority="142">
      <formula>LEN(TRIM(C1973))&gt;0</formula>
    </cfRule>
  </conditionalFormatting>
  <conditionalFormatting sqref="E1974">
    <cfRule type="notContainsBlanks" dxfId="158" priority="141">
      <formula>LEN(TRIM(E1974))&gt;0</formula>
    </cfRule>
  </conditionalFormatting>
  <conditionalFormatting sqref="E1975">
    <cfRule type="notContainsBlanks" dxfId="157" priority="140">
      <formula>LEN(TRIM(E1975))&gt;0</formula>
    </cfRule>
  </conditionalFormatting>
  <conditionalFormatting sqref="C1985">
    <cfRule type="notContainsBlanks" dxfId="156" priority="139">
      <formula>LEN(TRIM(C1985))&gt;0</formula>
    </cfRule>
  </conditionalFormatting>
  <conditionalFormatting sqref="C1987">
    <cfRule type="notContainsBlanks" dxfId="155" priority="138">
      <formula>LEN(TRIM(C1987))&gt;0</formula>
    </cfRule>
  </conditionalFormatting>
  <conditionalFormatting sqref="C1988">
    <cfRule type="notContainsBlanks" dxfId="154" priority="137">
      <formula>LEN(TRIM(C1988))&gt;0</formula>
    </cfRule>
  </conditionalFormatting>
  <conditionalFormatting sqref="E1994:E1995">
    <cfRule type="notContainsBlanks" dxfId="153" priority="136">
      <formula>LEN(TRIM(E1994))&gt;0</formula>
    </cfRule>
  </conditionalFormatting>
  <conditionalFormatting sqref="E1996:E1997">
    <cfRule type="notContainsBlanks" dxfId="152" priority="135">
      <formula>LEN(TRIM(E1996))&gt;0</formula>
    </cfRule>
  </conditionalFormatting>
  <conditionalFormatting sqref="E1998:E2006 E2008:E2010 E2012:E2014">
    <cfRule type="notContainsBlanks" dxfId="151" priority="134">
      <formula>LEN(TRIM(E1998))&gt;0</formula>
    </cfRule>
  </conditionalFormatting>
  <conditionalFormatting sqref="C2000">
    <cfRule type="notContainsBlanks" dxfId="150" priority="133">
      <formula>LEN(TRIM(C2000))&gt;0</formula>
    </cfRule>
  </conditionalFormatting>
  <conditionalFormatting sqref="C2001">
    <cfRule type="notContainsBlanks" dxfId="149" priority="132">
      <formula>LEN(TRIM(C2001))&gt;0</formula>
    </cfRule>
  </conditionalFormatting>
  <conditionalFormatting sqref="E2007">
    <cfRule type="notContainsBlanks" dxfId="148" priority="131">
      <formula>LEN(TRIM(E2007))&gt;0</formula>
    </cfRule>
  </conditionalFormatting>
  <conditionalFormatting sqref="E2011">
    <cfRule type="notContainsBlanks" dxfId="147" priority="130">
      <formula>LEN(TRIM(E2011))&gt;0</formula>
    </cfRule>
  </conditionalFormatting>
  <conditionalFormatting sqref="C2011">
    <cfRule type="notContainsBlanks" dxfId="146" priority="129">
      <formula>LEN(TRIM(C2011))&gt;0</formula>
    </cfRule>
  </conditionalFormatting>
  <conditionalFormatting sqref="C2012">
    <cfRule type="notContainsBlanks" dxfId="145" priority="128">
      <formula>LEN(TRIM(C2012))&gt;0</formula>
    </cfRule>
  </conditionalFormatting>
  <conditionalFormatting sqref="C2013">
    <cfRule type="notContainsBlanks" dxfId="144" priority="127">
      <formula>LEN(TRIM(C2013))&gt;0</formula>
    </cfRule>
  </conditionalFormatting>
  <conditionalFormatting sqref="C2025">
    <cfRule type="notContainsBlanks" dxfId="143" priority="126">
      <formula>LEN(TRIM(C2025))&gt;0</formula>
    </cfRule>
  </conditionalFormatting>
  <conditionalFormatting sqref="C2026">
    <cfRule type="notContainsBlanks" dxfId="142" priority="125">
      <formula>LEN(TRIM(C2026))&gt;0</formula>
    </cfRule>
  </conditionalFormatting>
  <conditionalFormatting sqref="C2027">
    <cfRule type="notContainsBlanks" dxfId="141" priority="124">
      <formula>LEN(TRIM(C2027))&gt;0</formula>
    </cfRule>
  </conditionalFormatting>
  <conditionalFormatting sqref="E2031:E2032">
    <cfRule type="notContainsBlanks" dxfId="140" priority="123">
      <formula>LEN(TRIM(E2031))&gt;0</formula>
    </cfRule>
  </conditionalFormatting>
  <conditionalFormatting sqref="E2033">
    <cfRule type="notContainsBlanks" dxfId="139" priority="122">
      <formula>LEN(TRIM(E2033))&gt;0</formula>
    </cfRule>
  </conditionalFormatting>
  <conditionalFormatting sqref="C2035:C2036">
    <cfRule type="notContainsBlanks" dxfId="138" priority="121">
      <formula>LEN(TRIM(C2035))&gt;0</formula>
    </cfRule>
  </conditionalFormatting>
  <conditionalFormatting sqref="D2035:D2036">
    <cfRule type="notContainsBlanks" dxfId="137" priority="120" stopIfTrue="1">
      <formula>LEN(TRIM(D2035))&gt;0</formula>
    </cfRule>
  </conditionalFormatting>
  <conditionalFormatting sqref="C2037">
    <cfRule type="notContainsBlanks" dxfId="136" priority="119">
      <formula>LEN(TRIM(C2037))&gt;0</formula>
    </cfRule>
  </conditionalFormatting>
  <conditionalFormatting sqref="E2038:E2039">
    <cfRule type="notContainsBlanks" dxfId="135" priority="118">
      <formula>LEN(TRIM(E2038))&gt;0</formula>
    </cfRule>
  </conditionalFormatting>
  <conditionalFormatting sqref="E2043">
    <cfRule type="notContainsBlanks" dxfId="134" priority="117">
      <formula>LEN(TRIM(E2043))&gt;0</formula>
    </cfRule>
  </conditionalFormatting>
  <conditionalFormatting sqref="E2044:E2045">
    <cfRule type="notContainsBlanks" dxfId="133" priority="116">
      <formula>LEN(TRIM(E2044))&gt;0</formula>
    </cfRule>
  </conditionalFormatting>
  <conditionalFormatting sqref="E2049">
    <cfRule type="notContainsBlanks" dxfId="132" priority="115">
      <formula>LEN(TRIM(E2049))&gt;0</formula>
    </cfRule>
  </conditionalFormatting>
  <conditionalFormatting sqref="C2056:C2057">
    <cfRule type="notContainsBlanks" dxfId="131" priority="114">
      <formula>LEN(TRIM(C2056))&gt;0</formula>
    </cfRule>
  </conditionalFormatting>
  <conditionalFormatting sqref="D2056">
    <cfRule type="notContainsBlanks" dxfId="130" priority="113" stopIfTrue="1">
      <formula>LEN(TRIM(D2056))&gt;0</formula>
    </cfRule>
  </conditionalFormatting>
  <conditionalFormatting sqref="D2057">
    <cfRule type="notContainsBlanks" dxfId="129" priority="112" stopIfTrue="1">
      <formula>LEN(TRIM(D2057))&gt;0</formula>
    </cfRule>
  </conditionalFormatting>
  <conditionalFormatting sqref="C2060">
    <cfRule type="notContainsBlanks" dxfId="128" priority="111">
      <formula>LEN(TRIM(C2060))&gt;0</formula>
    </cfRule>
  </conditionalFormatting>
  <conditionalFormatting sqref="C2061">
    <cfRule type="notContainsBlanks" dxfId="127" priority="110">
      <formula>LEN(TRIM(C2061))&gt;0</formula>
    </cfRule>
  </conditionalFormatting>
  <conditionalFormatting sqref="C2062">
    <cfRule type="notContainsBlanks" dxfId="126" priority="109">
      <formula>LEN(TRIM(C2062))&gt;0</formula>
    </cfRule>
  </conditionalFormatting>
  <conditionalFormatting sqref="C2073">
    <cfRule type="notContainsBlanks" dxfId="125" priority="108">
      <formula>LEN(TRIM(C2073))&gt;0</formula>
    </cfRule>
  </conditionalFormatting>
  <conditionalFormatting sqref="E2078">
    <cfRule type="notContainsBlanks" dxfId="124" priority="107">
      <formula>LEN(TRIM(E2078))&gt;0</formula>
    </cfRule>
  </conditionalFormatting>
  <conditionalFormatting sqref="C2079">
    <cfRule type="notContainsBlanks" dxfId="123" priority="106">
      <formula>LEN(TRIM(C2079))&gt;0</formula>
    </cfRule>
  </conditionalFormatting>
  <conditionalFormatting sqref="E2081:E2082">
    <cfRule type="notContainsBlanks" dxfId="122" priority="105">
      <formula>LEN(TRIM(E2081))&gt;0</formula>
    </cfRule>
  </conditionalFormatting>
  <conditionalFormatting sqref="E2085">
    <cfRule type="notContainsBlanks" dxfId="121" priority="104">
      <formula>LEN(TRIM(E2085))&gt;0</formula>
    </cfRule>
  </conditionalFormatting>
  <conditionalFormatting sqref="C2085">
    <cfRule type="notContainsBlanks" dxfId="120" priority="103">
      <formula>LEN(TRIM(C2085))&gt;0</formula>
    </cfRule>
  </conditionalFormatting>
  <conditionalFormatting sqref="C2093">
    <cfRule type="notContainsBlanks" dxfId="119" priority="102">
      <formula>LEN(TRIM(C2093))&gt;0</formula>
    </cfRule>
  </conditionalFormatting>
  <conditionalFormatting sqref="C2094">
    <cfRule type="notContainsBlanks" dxfId="118" priority="101">
      <formula>LEN(TRIM(C2094))&gt;0</formula>
    </cfRule>
  </conditionalFormatting>
  <conditionalFormatting sqref="C2105">
    <cfRule type="notContainsBlanks" dxfId="117" priority="100">
      <formula>LEN(TRIM(C2105))&gt;0</formula>
    </cfRule>
  </conditionalFormatting>
  <conditionalFormatting sqref="C2113">
    <cfRule type="notContainsBlanks" dxfId="116" priority="99">
      <formula>LEN(TRIM(C2113))&gt;0</formula>
    </cfRule>
  </conditionalFormatting>
  <conditionalFormatting sqref="C2114">
    <cfRule type="notContainsBlanks" dxfId="115" priority="98">
      <formula>LEN(TRIM(C2114))&gt;0</formula>
    </cfRule>
  </conditionalFormatting>
  <conditionalFormatting sqref="C2120">
    <cfRule type="notContainsBlanks" dxfId="114" priority="96">
      <formula>LEN(TRIM(C2120))&gt;0</formula>
    </cfRule>
  </conditionalFormatting>
  <conditionalFormatting sqref="C2140">
    <cfRule type="notContainsBlanks" dxfId="113" priority="95">
      <formula>LEN(TRIM(C2140))&gt;0</formula>
    </cfRule>
  </conditionalFormatting>
  <conditionalFormatting sqref="C2141">
    <cfRule type="notContainsBlanks" dxfId="112" priority="94">
      <formula>LEN(TRIM(C2141))&gt;0</formula>
    </cfRule>
  </conditionalFormatting>
  <conditionalFormatting sqref="C2143">
    <cfRule type="notContainsBlanks" dxfId="111" priority="93">
      <formula>LEN(TRIM(C2143))&gt;0</formula>
    </cfRule>
  </conditionalFormatting>
  <conditionalFormatting sqref="C2144">
    <cfRule type="notContainsBlanks" dxfId="110" priority="92">
      <formula>LEN(TRIM(C2144))&gt;0</formula>
    </cfRule>
  </conditionalFormatting>
  <conditionalFormatting sqref="C2150">
    <cfRule type="notContainsBlanks" dxfId="109" priority="91">
      <formula>LEN(TRIM(C2150))&gt;0</formula>
    </cfRule>
  </conditionalFormatting>
  <conditionalFormatting sqref="E2156:E2157">
    <cfRule type="notContainsBlanks" dxfId="108" priority="90">
      <formula>LEN(TRIM(E2156))&gt;0</formula>
    </cfRule>
  </conditionalFormatting>
  <conditionalFormatting sqref="E2158">
    <cfRule type="notContainsBlanks" dxfId="107" priority="89">
      <formula>LEN(TRIM(E2158))&gt;0</formula>
    </cfRule>
  </conditionalFormatting>
  <conditionalFormatting sqref="C2159">
    <cfRule type="notContainsBlanks" dxfId="106" priority="88">
      <formula>LEN(TRIM(C2159))&gt;0</formula>
    </cfRule>
  </conditionalFormatting>
  <conditionalFormatting sqref="E2161">
    <cfRule type="notContainsBlanks" dxfId="105" priority="86">
      <formula>LEN(TRIM(E2161))&gt;0</formula>
    </cfRule>
  </conditionalFormatting>
  <conditionalFormatting sqref="C2161">
    <cfRule type="notContainsBlanks" dxfId="104" priority="85">
      <formula>LEN(TRIM(C2161))&gt;0</formula>
    </cfRule>
  </conditionalFormatting>
  <conditionalFormatting sqref="E2180">
    <cfRule type="notContainsBlanks" dxfId="103" priority="84">
      <formula>LEN(TRIM(E2180))&gt;0</formula>
    </cfRule>
  </conditionalFormatting>
  <conditionalFormatting sqref="E2181:E2182">
    <cfRule type="notContainsBlanks" dxfId="102" priority="83">
      <formula>LEN(TRIM(E2181))&gt;0</formula>
    </cfRule>
  </conditionalFormatting>
  <conditionalFormatting sqref="C2184">
    <cfRule type="notContainsBlanks" dxfId="101" priority="82">
      <formula>LEN(TRIM(C2184))&gt;0</formula>
    </cfRule>
  </conditionalFormatting>
  <conditionalFormatting sqref="D2184">
    <cfRule type="notContainsBlanks" dxfId="100" priority="81" stopIfTrue="1">
      <formula>LEN(TRIM(D2184))&gt;0</formula>
    </cfRule>
  </conditionalFormatting>
  <conditionalFormatting sqref="C2185">
    <cfRule type="notContainsBlanks" dxfId="99" priority="80">
      <formula>LEN(TRIM(C2185))&gt;0</formula>
    </cfRule>
  </conditionalFormatting>
  <conditionalFormatting sqref="C2186">
    <cfRule type="notContainsBlanks" dxfId="98" priority="79">
      <formula>LEN(TRIM(C2186))&gt;0</formula>
    </cfRule>
  </conditionalFormatting>
  <conditionalFormatting sqref="C2187">
    <cfRule type="notContainsBlanks" dxfId="97" priority="78">
      <formula>LEN(TRIM(C2187))&gt;0</formula>
    </cfRule>
  </conditionalFormatting>
  <conditionalFormatting sqref="C2188">
    <cfRule type="notContainsBlanks" dxfId="96" priority="77">
      <formula>LEN(TRIM(C2188))&gt;0</formula>
    </cfRule>
  </conditionalFormatting>
  <conditionalFormatting sqref="C2190">
    <cfRule type="notContainsBlanks" dxfId="95" priority="76">
      <formula>LEN(TRIM(C2190))&gt;0</formula>
    </cfRule>
  </conditionalFormatting>
  <conditionalFormatting sqref="E2283">
    <cfRule type="notContainsBlanks" dxfId="94" priority="75">
      <formula>LEN(TRIM(E2283))&gt;0</formula>
    </cfRule>
  </conditionalFormatting>
  <conditionalFormatting sqref="E2293">
    <cfRule type="notContainsBlanks" dxfId="93" priority="74">
      <formula>LEN(TRIM(E2293))&gt;0</formula>
    </cfRule>
  </conditionalFormatting>
  <conditionalFormatting sqref="E2294">
    <cfRule type="notContainsBlanks" dxfId="92" priority="73">
      <formula>LEN(TRIM(E2294))&gt;0</formula>
    </cfRule>
  </conditionalFormatting>
  <conditionalFormatting sqref="E2310">
    <cfRule type="notContainsBlanks" dxfId="91" priority="56">
      <formula>LEN(TRIM(E2310))&gt;0</formula>
    </cfRule>
  </conditionalFormatting>
  <conditionalFormatting sqref="E2295">
    <cfRule type="notContainsBlanks" dxfId="90" priority="71">
      <formula>LEN(TRIM(E2295))&gt;0</formula>
    </cfRule>
  </conditionalFormatting>
  <conditionalFormatting sqref="E2297">
    <cfRule type="notContainsBlanks" dxfId="89" priority="70">
      <formula>LEN(TRIM(E2297))&gt;0</formula>
    </cfRule>
  </conditionalFormatting>
  <conditionalFormatting sqref="E2296">
    <cfRule type="notContainsBlanks" dxfId="88" priority="69">
      <formula>LEN(TRIM(E2296))&gt;0</formula>
    </cfRule>
  </conditionalFormatting>
  <conditionalFormatting sqref="E2298">
    <cfRule type="notContainsBlanks" dxfId="87" priority="68">
      <formula>LEN(TRIM(E2298))&gt;0</formula>
    </cfRule>
  </conditionalFormatting>
  <conditionalFormatting sqref="E2299">
    <cfRule type="notContainsBlanks" dxfId="86" priority="67">
      <formula>LEN(TRIM(E2299))&gt;0</formula>
    </cfRule>
  </conditionalFormatting>
  <conditionalFormatting sqref="E2300">
    <cfRule type="notContainsBlanks" dxfId="85" priority="66">
      <formula>LEN(TRIM(E2300))&gt;0</formula>
    </cfRule>
  </conditionalFormatting>
  <conditionalFormatting sqref="E2301">
    <cfRule type="notContainsBlanks" dxfId="84" priority="65">
      <formula>LEN(TRIM(E2301))&gt;0</formula>
    </cfRule>
  </conditionalFormatting>
  <conditionalFormatting sqref="E2302">
    <cfRule type="notContainsBlanks" dxfId="83" priority="64">
      <formula>LEN(TRIM(E2302))&gt;0</formula>
    </cfRule>
  </conditionalFormatting>
  <conditionalFormatting sqref="E2303">
    <cfRule type="notContainsBlanks" dxfId="82" priority="63">
      <formula>LEN(TRIM(E2303))&gt;0</formula>
    </cfRule>
  </conditionalFormatting>
  <conditionalFormatting sqref="E2304">
    <cfRule type="notContainsBlanks" dxfId="81" priority="62">
      <formula>LEN(TRIM(E2304))&gt;0</formula>
    </cfRule>
  </conditionalFormatting>
  <conditionalFormatting sqref="E2305">
    <cfRule type="notContainsBlanks" dxfId="80" priority="61">
      <formula>LEN(TRIM(E2305))&gt;0</formula>
    </cfRule>
  </conditionalFormatting>
  <conditionalFormatting sqref="E2306">
    <cfRule type="notContainsBlanks" dxfId="79" priority="60">
      <formula>LEN(TRIM(E2306))&gt;0</formula>
    </cfRule>
  </conditionalFormatting>
  <conditionalFormatting sqref="E2307">
    <cfRule type="notContainsBlanks" dxfId="78" priority="59">
      <formula>LEN(TRIM(E2307))&gt;0</formula>
    </cfRule>
  </conditionalFormatting>
  <conditionalFormatting sqref="E2308">
    <cfRule type="notContainsBlanks" dxfId="77" priority="58">
      <formula>LEN(TRIM(E2308))&gt;0</formula>
    </cfRule>
  </conditionalFormatting>
  <conditionalFormatting sqref="E2309">
    <cfRule type="notContainsBlanks" dxfId="76" priority="57">
      <formula>LEN(TRIM(E2309))&gt;0</formula>
    </cfRule>
  </conditionalFormatting>
  <conditionalFormatting sqref="E2311">
    <cfRule type="notContainsBlanks" dxfId="75" priority="55">
      <formula>LEN(TRIM(E2311))&gt;0</formula>
    </cfRule>
  </conditionalFormatting>
  <conditionalFormatting sqref="E2313">
    <cfRule type="notContainsBlanks" dxfId="74" priority="54">
      <formula>LEN(TRIM(E2313))&gt;0</formula>
    </cfRule>
  </conditionalFormatting>
  <conditionalFormatting sqref="E2312">
    <cfRule type="notContainsBlanks" dxfId="73" priority="53">
      <formula>LEN(TRIM(E2312))&gt;0</formula>
    </cfRule>
  </conditionalFormatting>
  <conditionalFormatting sqref="E2314">
    <cfRule type="notContainsBlanks" dxfId="72" priority="52">
      <formula>LEN(TRIM(E2314))&gt;0</formula>
    </cfRule>
  </conditionalFormatting>
  <conditionalFormatting sqref="E2315">
    <cfRule type="notContainsBlanks" dxfId="71" priority="51">
      <formula>LEN(TRIM(E2315))&gt;0</formula>
    </cfRule>
  </conditionalFormatting>
  <conditionalFormatting sqref="E2317">
    <cfRule type="notContainsBlanks" dxfId="70" priority="50">
      <formula>LEN(TRIM(E2317))&gt;0</formula>
    </cfRule>
  </conditionalFormatting>
  <conditionalFormatting sqref="E2316">
    <cfRule type="notContainsBlanks" dxfId="69" priority="49">
      <formula>LEN(TRIM(E2316))&gt;0</formula>
    </cfRule>
  </conditionalFormatting>
  <conditionalFormatting sqref="E2318">
    <cfRule type="notContainsBlanks" dxfId="68" priority="48">
      <formula>LEN(TRIM(E2318))&gt;0</formula>
    </cfRule>
  </conditionalFormatting>
  <conditionalFormatting sqref="E2319">
    <cfRule type="notContainsBlanks" dxfId="67" priority="47">
      <formula>LEN(TRIM(E2319))&gt;0</formula>
    </cfRule>
  </conditionalFormatting>
  <conditionalFormatting sqref="E2320">
    <cfRule type="notContainsBlanks" dxfId="66" priority="46">
      <formula>LEN(TRIM(E2320))&gt;0</formula>
    </cfRule>
  </conditionalFormatting>
  <conditionalFormatting sqref="E2321">
    <cfRule type="notContainsBlanks" dxfId="65" priority="45">
      <formula>LEN(TRIM(E2321))&gt;0</formula>
    </cfRule>
  </conditionalFormatting>
  <conditionalFormatting sqref="E2322">
    <cfRule type="notContainsBlanks" dxfId="64" priority="44">
      <formula>LEN(TRIM(E2322))&gt;0</formula>
    </cfRule>
  </conditionalFormatting>
  <conditionalFormatting sqref="E2323">
    <cfRule type="notContainsBlanks" dxfId="63" priority="43">
      <formula>LEN(TRIM(E2323))&gt;0</formula>
    </cfRule>
  </conditionalFormatting>
  <conditionalFormatting sqref="E2324:E2326">
    <cfRule type="notContainsBlanks" dxfId="62" priority="41">
      <formula>LEN(TRIM(E2324))&gt;0</formula>
    </cfRule>
  </conditionalFormatting>
  <conditionalFormatting sqref="E2328">
    <cfRule type="notContainsBlanks" dxfId="61" priority="38">
      <formula>LEN(TRIM(E2328))&gt;0</formula>
    </cfRule>
  </conditionalFormatting>
  <conditionalFormatting sqref="E2330">
    <cfRule type="notContainsBlanks" dxfId="60" priority="35">
      <formula>LEN(TRIM(E2330))&gt;0</formula>
    </cfRule>
  </conditionalFormatting>
  <conditionalFormatting sqref="E2332">
    <cfRule type="notContainsBlanks" dxfId="59" priority="34">
      <formula>LEN(TRIM(E2332))&gt;0</formula>
    </cfRule>
  </conditionalFormatting>
  <conditionalFormatting sqref="E2331">
    <cfRule type="notContainsBlanks" dxfId="58" priority="33">
      <formula>LEN(TRIM(E2331))&gt;0</formula>
    </cfRule>
  </conditionalFormatting>
  <conditionalFormatting sqref="E2333:E2345 E2348:E2352">
    <cfRule type="notContainsBlanks" dxfId="57" priority="32">
      <formula>LEN(TRIM(E2333))&gt;0</formula>
    </cfRule>
  </conditionalFormatting>
  <conditionalFormatting sqref="C2319">
    <cfRule type="notContainsBlanks" dxfId="56" priority="29">
      <formula>LEN(TRIM(C2319))&gt;0</formula>
    </cfRule>
  </conditionalFormatting>
  <conditionalFormatting sqref="C2323:C2324">
    <cfRule type="notContainsBlanks" dxfId="55" priority="28">
      <formula>LEN(TRIM(C2323))&gt;0</formula>
    </cfRule>
  </conditionalFormatting>
  <conditionalFormatting sqref="C2325:C2326">
    <cfRule type="notContainsBlanks" dxfId="54" priority="25">
      <formula>LEN(TRIM(C2325))&gt;0</formula>
    </cfRule>
  </conditionalFormatting>
  <conditionalFormatting sqref="E2327">
    <cfRule type="notContainsBlanks" dxfId="53" priority="24">
      <formula>LEN(TRIM(E2327))&gt;0</formula>
    </cfRule>
  </conditionalFormatting>
  <conditionalFormatting sqref="E2329">
    <cfRule type="notContainsBlanks" dxfId="52" priority="23">
      <formula>LEN(TRIM(E2329))&gt;0</formula>
    </cfRule>
  </conditionalFormatting>
  <conditionalFormatting sqref="C2331">
    <cfRule type="notContainsBlanks" dxfId="51" priority="22">
      <formula>LEN(TRIM(C2331))&gt;0</formula>
    </cfRule>
  </conditionalFormatting>
  <conditionalFormatting sqref="C2345">
    <cfRule type="notContainsBlanks" dxfId="50" priority="21">
      <formula>LEN(TRIM(C2345))&gt;0</formula>
    </cfRule>
  </conditionalFormatting>
  <conditionalFormatting sqref="E2346:E2347">
    <cfRule type="notContainsBlanks" dxfId="49" priority="20">
      <formula>LEN(TRIM(E2346))&gt;0</formula>
    </cfRule>
  </conditionalFormatting>
  <conditionalFormatting sqref="C2346:C2347">
    <cfRule type="notContainsBlanks" dxfId="48" priority="19">
      <formula>LEN(TRIM(C2346))&gt;0</formula>
    </cfRule>
  </conditionalFormatting>
  <conditionalFormatting sqref="C2348:C2349">
    <cfRule type="notContainsBlanks" dxfId="47" priority="18">
      <formula>LEN(TRIM(C2348))&gt;0</formula>
    </cfRule>
  </conditionalFormatting>
  <conditionalFormatting sqref="D2348:D2349">
    <cfRule type="notContainsBlanks" dxfId="46" priority="17" stopIfTrue="1">
      <formula>LEN(TRIM(D2348))&gt;0</formula>
    </cfRule>
  </conditionalFormatting>
  <conditionalFormatting sqref="C2351">
    <cfRule type="notContainsBlanks" dxfId="45" priority="16">
      <formula>LEN(TRIM(C2351))&gt;0</formula>
    </cfRule>
  </conditionalFormatting>
  <conditionalFormatting sqref="E2356:E2357">
    <cfRule type="notContainsBlanks" dxfId="44" priority="15">
      <formula>LEN(TRIM(E2356))&gt;0</formula>
    </cfRule>
  </conditionalFormatting>
  <conditionalFormatting sqref="E2358">
    <cfRule type="notContainsBlanks" dxfId="43" priority="14">
      <formula>LEN(TRIM(E2358))&gt;0</formula>
    </cfRule>
  </conditionalFormatting>
  <conditionalFormatting sqref="C2359">
    <cfRule type="notContainsBlanks" dxfId="42" priority="13">
      <formula>LEN(TRIM(C2359))&gt;0</formula>
    </cfRule>
  </conditionalFormatting>
  <conditionalFormatting sqref="C2361:C2362">
    <cfRule type="notContainsBlanks" dxfId="41" priority="12">
      <formula>LEN(TRIM(C2361))&gt;0</formula>
    </cfRule>
  </conditionalFormatting>
  <conditionalFormatting sqref="C2367:C2368">
    <cfRule type="notContainsBlanks" dxfId="40" priority="11">
      <formula>LEN(TRIM(C2367))&gt;0</formula>
    </cfRule>
  </conditionalFormatting>
  <conditionalFormatting sqref="D2367:D2368">
    <cfRule type="notContainsBlanks" dxfId="39" priority="10" stopIfTrue="1">
      <formula>LEN(TRIM(D2367))&gt;0</formula>
    </cfRule>
  </conditionalFormatting>
  <conditionalFormatting sqref="C2375">
    <cfRule type="notContainsBlanks" dxfId="38" priority="9">
      <formula>LEN(TRIM(C2375))&gt;0</formula>
    </cfRule>
  </conditionalFormatting>
  <conditionalFormatting sqref="E2376">
    <cfRule type="notContainsBlanks" dxfId="37" priority="8">
      <formula>LEN(TRIM(E2376))&gt;0</formula>
    </cfRule>
  </conditionalFormatting>
  <conditionalFormatting sqref="E2382">
    <cfRule type="notContainsBlanks" dxfId="36" priority="7">
      <formula>LEN(TRIM(E2382))&gt;0</formula>
    </cfRule>
  </conditionalFormatting>
  <conditionalFormatting sqref="C2383">
    <cfRule type="notContainsBlanks" dxfId="35" priority="6">
      <formula>LEN(TRIM(C2383))&gt;0</formula>
    </cfRule>
  </conditionalFormatting>
  <conditionalFormatting sqref="E2389">
    <cfRule type="notContainsBlanks" dxfId="34" priority="5">
      <formula>LEN(TRIM(E2389))&gt;0</formula>
    </cfRule>
  </conditionalFormatting>
  <conditionalFormatting sqref="E2390">
    <cfRule type="notContainsBlanks" dxfId="33" priority="4">
      <formula>LEN(TRIM(E2390))&gt;0</formula>
    </cfRule>
  </conditionalFormatting>
  <conditionalFormatting sqref="C2390">
    <cfRule type="notContainsBlanks" dxfId="32" priority="3">
      <formula>LEN(TRIM(C2390))&gt;0</formula>
    </cfRule>
  </conditionalFormatting>
  <conditionalFormatting sqref="E2391">
    <cfRule type="notContainsBlanks" dxfId="31" priority="2">
      <formula>LEN(TRIM(E2391))&gt;0</formula>
    </cfRule>
  </conditionalFormatting>
  <conditionalFormatting sqref="C2396">
    <cfRule type="notContainsBlanks" dxfId="0" priority="1">
      <formula>LEN(TRIM(C2396))&gt;0</formula>
    </cfRule>
  </conditionalFormatting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>
          <x14:formula1>
            <xm:f>'Etat des stocks'!$C$8:$C$18</xm:f>
          </x14:formula1>
          <xm:sqref>D2:D3 D5:D34 D36:D115 D117:D144 D146:D170 D172:D348 D351:D358 D361:D418 D422:D520 D522:D544 D546:D612 D614:D620 D622:D651 D655 D659:D661 D663:D665 D668:D683 D686:D698 D702:D703 D706 D708:D709 D712:D715 D719:D724 D726 D728 D730 D732 D734:D792 D793:E793 D794:D800 D801:E801 D802:D806 D807:E807 D808:D816 D820:D831 D832:E832 E886 E897 D833:D894 E913 D896:D917 E932 D919:D934 E929 E937 D936:D939 E952:E953 E955 E959 D941:D957 E967 E983 D959:D994 E1006 E1013 E1023 E1029 E1034 E1044 E1049 D996:D1060 D1066 E1069 D1068:D1072 E1081 D1074:D1081 D1083:D1093 D1098 E1100 D1100:D1106 E1109 D1108:D1112 D1114:D1116 D1119:D1126 D1142:E1142 D1128:D1141 D1162:E1162 D1143:D1161 E1163 E1170 D1163:D1187 E1191 E1212:E1213 D1189:D1217 E1230 E1235:E1240 E1249:E1252 E1256 E1258 E1265:E1266 E1273:E1274 E1289 E1279 E1291:E1292 E1298:E1300 E1302:E1304 D1306:E1306 D1219:D1305 E1313 E1315:E1316 E1326 E1322:E1323 E1340:E1341 E1346 E1354 E1351 D1307:D1354 E1357 E1362 D1356:D1367 D1368:E1369 E1370 E1373 E1386 E1388 D1370:D1388 D1389:E1389 E1394:E1395 E1408 E1414:E1417 D1391:D1418 D1419:E1419 E1424 D1420:D1438 D1439:E1439 D1441:D1457 D1458:E1459 D1461:E1461 D1462:D1465 D1466:E1466 D1467 E1474 D1469:D1475 E1487:E1488 D1479:D1491 E1509:E1510 E1518 E1539 D1493:D1542 E1545 E1557 E1559:E1560 E1698 D1545:D1752 D1754:D1759 E1798 D1761:D1797 D1799:D1811 E1812 D1814:D1818 E1819 D1820:D1828 E1829 D1830:D1834 D1836:D1840 E1841 D1842:D1859 D1861:D1871 E1872 D1948:D1954 D1956 D1873:D1946 D1958:D1961 D1963:D1970 D1972:D2046 D2048:D2050 D2052:D2076 D2081:D2082 D2085</xm:sqref>
        </x14:dataValidation>
        <x14:dataValidation type="list" allowBlank="1" showErrorMessage="1">
          <x14:formula1>
            <xm:f>'Base de donnée articles'!$C$8:$C$920</xm:f>
          </x14:formula1>
          <xm:sqref>E2:E34 E36:E115 E117:E144 E146:E170 E172:E348 E351:E358 E361:E418 E422:E449 E451:E520 E522:E544 E546:E612 E614:E620 E622:E651 E655 E659:E661 E663:E665 E668:E683 E686:E698 E702:E703 E706 E708:E709 E712:E715 E719:E724 E726 E728 E730 E732 E734:E792 E794:E800 E802:E806 E808:E816 E820:E831 E833:E885 E896 E887:E894 E898:E912 E914:E917 E933:E934 E919:E928 E930:E931 E936 E938:E939 E941:E951 E954 E956:E957 E960:E966 E968:E982 E984:E994 E996:E1005 E1007:E1012 E1014:E1022 E1024:E1028 E1030:E1033 E1035:E1043 E1045:E1048 E1050:E1060 E1066 E1068 E1070:E1072 E1074:E1080 E1083:E1093 E1098 E1101:E1108 E1110:E1116 E1119:E1126 E1140:E1141 E1128:E1138 E1144:E1161 E1164:E1169 E1171:E1187 E1189:E1190 E1192:E1211 E1214:E1217 E1219:E1229 E1231:E1234 E1241:E1248 E1253:E1255 E1257 E1259:E1264 E1267:E1272 E1275:E1278 E1280:E1288 E1290 E1297 E1293:E1295 E1301 E1305 E1307:E1312 E1314 E1317 E1319:E1321 E1324:E1325 E1327:E1339 E1342:E1345 E1347:E1350 E1352:E1353 E1356 E1358:E1361 E1363:E1367 E1371:E1372 E1374:E1385 E1387 E1391:E1393 E1396:E1407 E1409:E1413 E1418 E1420:E1423 E1425:E1430 E1432:E1438 E1441:E1443 E1445:E1457 E1462:E1465 E1467 E1469:E1473 E1475 E1479:E1486 E1489:E1491 E1493:E1508 E1511:E1517 E1519:E1538 E1540:E1542 E1546:E1556 E1558 E1561:E1697 E1699:E1752 E1754:E1759 E1761:E1797 E1799:E1811 E1814:E1818 E1820:E1828 E1830:E1834 E1836:E1840 E1842:E1859 E1861:E1871 E1948:E1954 E1956 E1873:E1946 E1958:E1961 E1963:E1970 E1972:E2050 E2052:E3025</xm:sqref>
        </x14:dataValidation>
        <x14:dataValidation type="list" allowBlank="1" showErrorMessage="1">
          <x14:formula1>
            <xm:f>'Base de donnée articles'!$B$8:$B$38</xm:f>
          </x14:formula1>
          <xm:sqref>C4:C9 C11:C13 C15:C16 C20:C21 C28:C34 C36:C39 C42:C43 C47:C48 C50:C51 C65:C67</xm:sqref>
        </x14:dataValidation>
        <x14:dataValidation type="list" allowBlank="1" showErrorMessage="1">
          <x14:formula1>
            <xm:f>'Base de donnée articles'!$B$8:$B$22</xm:f>
          </x14:formula1>
          <xm:sqref>C2:C3 C10 C17:C19 C22:C27 C40:C41 C44:C46 C49 C52:C53 C68:C69</xm:sqref>
        </x14:dataValidation>
        <x14:dataValidation type="list" allowBlank="1" showErrorMessage="1">
          <x14:formula1>
            <xm:f>'Etat des stocks'!$C$8:$C$36</xm:f>
          </x14:formula1>
          <xm:sqref>D4</xm:sqref>
        </x14:dataValidation>
        <x14:dataValidation type="list" allowBlank="1" showErrorMessage="1">
          <x14:formula1>
            <xm:f>'Base de donnée articles'!$B$8:$B$50</xm:f>
          </x14:formula1>
          <xm:sqref>C54:C64 C70:C115 C117:C181 C183:C348 C351:C358 C361:C418 C422:C520 C522:C544 C546:C570 C572:C612 C614:C620 C622:C651 C655 C659:C660 C663:C665 C668:C676 C678:C683 C686:C698 C702:C703 C706 C708:C709 C712:C715 C719:C724 C726 C728 C730 C732 C734:C816 C820:C894 C896:C917 C919:C934 C936:C939 C941:C957 C959:C994 C996:C1060 C1066 C1068:C1072 C1074:C1081 C1083:C1093 C1098 C1100:C1101 C1103:C1116 C1119:C1124 C1126 C1128:C1131 C1133:C1187 C1189:C1217 C1219:C1354 C1356:C1389 C1391:C1439 C1441:C1459 C1461:C1467 C1469:C1475 C1479:C1491 C1493:C1542 C1545:C1752 C1754:C1759 C1761:C1812 C1814:C1834 C1836:C1859 C1948:C1954 C1956 C1861:C1946 C1958:C1961 C1963:C1970 C1972:C2046 C2048:C2050 C2052:C2073 C2075:C2076 C2079 C2081:C2082 C2085 C2089:C2090 C2100:C2101 C2111:C2112 C2135:C2136</xm:sqref>
        </x14:dataValidation>
        <x14:dataValidation type="list" allowBlank="1" showErrorMessage="1">
          <x14:formula1>
            <xm:f>'D:\05 - FOLIES SUCREES\13 - GESTION STOCK\[Suivi-Stock cuisine.xlsx]Base de donnée articles'!#REF!</xm:f>
          </x14:formula1>
          <xm:sqref>E1117:E1118 C1117:C1118</xm:sqref>
        </x14:dataValidation>
        <x14:dataValidation type="list" allowBlank="1" showErrorMessage="1">
          <x14:formula1>
            <xm:f>'D:\05 - FOLIES SUCREES\13 - GESTION STOCK\[Suivi-Stock cuisine.xlsx]Etat des stocks'!#REF!</xm:f>
          </x14:formula1>
          <xm:sqref>D1117:D1118</xm:sqref>
        </x14:dataValidation>
        <x14:dataValidation type="list" allowBlank="1" showErrorMessage="1">
          <x14:formula1>
            <xm:f>'D:\05 - FOLIES SUCREES\13 - GESTION STOCK\[Suivi-Stock -depot.xlsx]Etat des stocks'!#REF!</xm:f>
          </x14:formula1>
          <xm:sqref>D2047</xm:sqref>
        </x14:dataValidation>
        <x14:dataValidation type="list" allowBlank="1" showInputMessage="1" showErrorMessage="1">
          <x14:formula1>
            <xm:f>'Base de donnée articles'!$B$8:$B$75</xm:f>
          </x14:formula1>
          <xm:sqref>C2255:C2313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34"/>
  <sheetViews>
    <sheetView topLeftCell="A68" workbookViewId="0">
      <selection activeCell="C68" sqref="C68"/>
    </sheetView>
  </sheetViews>
  <sheetFormatPr baseColWidth="10" defaultColWidth="14.44140625" defaultRowHeight="15" customHeight="1" x14ac:dyDescent="0.3"/>
  <cols>
    <col min="1" max="1" width="11.44140625" customWidth="1"/>
    <col min="2" max="2" width="29.88671875" customWidth="1"/>
    <col min="3" max="3" width="10.6640625" customWidth="1"/>
    <col min="4" max="9" width="11.44140625" customWidth="1"/>
    <col min="10" max="10" width="4" customWidth="1"/>
    <col min="11" max="26" width="11.44140625" customWidth="1"/>
  </cols>
  <sheetData>
    <row r="1" spans="1:26" ht="14.2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4.25" customHeight="1" x14ac:dyDescent="0.4">
      <c r="A2" s="18"/>
      <c r="B2" s="18"/>
      <c r="C2" s="18"/>
      <c r="D2" s="18"/>
      <c r="E2" s="18"/>
      <c r="F2" s="18"/>
      <c r="G2" s="139" t="s">
        <v>137</v>
      </c>
      <c r="H2" s="140"/>
      <c r="I2" s="140"/>
      <c r="J2" s="140"/>
      <c r="K2" s="140"/>
      <c r="L2" s="140"/>
      <c r="M2" s="140"/>
      <c r="N2" s="141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4.25" customHeigh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4.2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4.25" customHeigh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4.25" customHeight="1" x14ac:dyDescent="0.3">
      <c r="A6" s="18"/>
      <c r="B6" s="18"/>
      <c r="C6" s="18"/>
      <c r="D6" s="18"/>
      <c r="E6" s="62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4.25" customHeight="1" x14ac:dyDescent="0.3">
      <c r="A7" s="18"/>
      <c r="B7" s="63" t="s">
        <v>138</v>
      </c>
      <c r="C7" s="63" t="s">
        <v>139</v>
      </c>
      <c r="D7" s="64" t="s">
        <v>3</v>
      </c>
      <c r="E7" s="65" t="s">
        <v>140</v>
      </c>
      <c r="F7" s="64" t="s">
        <v>141</v>
      </c>
      <c r="G7" s="65" t="s">
        <v>142</v>
      </c>
      <c r="H7" s="64" t="s">
        <v>143</v>
      </c>
      <c r="I7" s="18"/>
      <c r="J7" s="66"/>
      <c r="K7" s="67"/>
      <c r="L7" s="67"/>
      <c r="M7" s="67"/>
      <c r="N7" s="6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4.25" customHeight="1" x14ac:dyDescent="0.3">
      <c r="A8" s="18"/>
      <c r="B8" s="25" t="str">
        <f>IF('Base de donnée articles'!B8="","",'Base de donnée articles'!B8)</f>
        <v>Lait</v>
      </c>
      <c r="C8" s="25" t="s">
        <v>12</v>
      </c>
      <c r="D8" s="25" t="str">
        <f>IF('Base de donnée articles'!C8="","",'Base de donnée articles'!C8)</f>
        <v>PAT007</v>
      </c>
      <c r="E8" s="11">
        <v>0</v>
      </c>
      <c r="F8" s="18">
        <f>IF(B8="","",SUMIFS('CH008'!F$2:F$4994,'CH008'!E$2:E$4994,D8))</f>
        <v>204</v>
      </c>
      <c r="G8" s="18">
        <f>IF(D8="","",SUMIFS('CH008'!G$2:G$4994,'CH008'!E$2:E$4994,D8))</f>
        <v>204</v>
      </c>
      <c r="H8" s="69">
        <f t="shared" ref="H8:H63" si="0">IF(D8="","",E8+F8-G8)</f>
        <v>0</v>
      </c>
      <c r="I8" s="18"/>
      <c r="J8" s="70"/>
      <c r="K8" s="69" t="s">
        <v>144</v>
      </c>
      <c r="L8" s="69"/>
      <c r="M8" s="69"/>
      <c r="N8" s="71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4.25" customHeight="1" x14ac:dyDescent="0.3">
      <c r="A9" s="18"/>
      <c r="B9" s="25" t="str">
        <f>IF('Base de donnée articles'!B9="","",'Base de donnée articles'!B9)</f>
        <v xml:space="preserve">Pate Crepe </v>
      </c>
      <c r="C9" s="25" t="s">
        <v>8</v>
      </c>
      <c r="D9" s="25" t="str">
        <f>IF('Base de donnée articles'!C9="","",'Base de donnée articles'!C9)</f>
        <v>PAT002</v>
      </c>
      <c r="E9" s="11">
        <v>2</v>
      </c>
      <c r="F9" s="18">
        <f>IF(B9="","",SUMIFS('CH008'!F$2:F$4994,'CH008'!E$2:E$4994,D9))</f>
        <v>92</v>
      </c>
      <c r="G9" s="18">
        <f>IF(D9="","",SUMIFS('CH008'!G$2:G$4994,'CH008'!E$2:E$4994,D9))</f>
        <v>91</v>
      </c>
      <c r="H9" s="69">
        <f t="shared" si="0"/>
        <v>3</v>
      </c>
      <c r="I9" s="18"/>
      <c r="J9" s="70"/>
      <c r="K9" s="72" t="s">
        <v>145</v>
      </c>
      <c r="L9" s="73"/>
      <c r="M9" s="73"/>
      <c r="N9" s="74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4.25" customHeight="1" x14ac:dyDescent="0.3">
      <c r="A10" s="18"/>
      <c r="B10" s="25" t="str">
        <f>IF('Base de donnée articles'!B10="","",'Base de donnée articles'!B10)</f>
        <v>Pate Big Bubble</v>
      </c>
      <c r="C10" s="25" t="s">
        <v>8</v>
      </c>
      <c r="D10" s="25" t="str">
        <f>IF('Base de donnée articles'!C10="","",'Base de donnée articles'!C10)</f>
        <v>PAT003</v>
      </c>
      <c r="E10" s="11">
        <v>3</v>
      </c>
      <c r="F10" s="18">
        <f>IF(B10="","",SUMIFS('CH008'!F$2:F$4994,'CH008'!E$2:E$4994,D10))</f>
        <v>199</v>
      </c>
      <c r="G10" s="18">
        <f>IF(D10="","",SUMIFS('CH008'!G$2:G$4994,'CH008'!E$2:E$4994,D10))</f>
        <v>199</v>
      </c>
      <c r="H10" s="69">
        <f t="shared" si="0"/>
        <v>3</v>
      </c>
      <c r="I10" s="18"/>
      <c r="J10" s="70"/>
      <c r="K10" s="72" t="s">
        <v>146</v>
      </c>
      <c r="L10" s="73"/>
      <c r="M10" s="73"/>
      <c r="N10" s="74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4.25" customHeight="1" x14ac:dyDescent="0.3">
      <c r="A11" s="18"/>
      <c r="B11" s="25" t="str">
        <f>IF('Base de donnée articles'!B11="","",'Base de donnée articles'!B11)</f>
        <v>Pate Waffle</v>
      </c>
      <c r="C11" s="25" t="s">
        <v>8</v>
      </c>
      <c r="D11" s="25" t="str">
        <f>IF('Base de donnée articles'!C11="","",'Base de donnée articles'!C11)</f>
        <v>PAT004</v>
      </c>
      <c r="E11" s="11">
        <v>6</v>
      </c>
      <c r="F11" s="18">
        <f>IF(B11="","",SUMIFS('CH008'!F$2:F$4994,'CH008'!E$2:E$4994,D11))</f>
        <v>162</v>
      </c>
      <c r="G11" s="18">
        <f>IF(D11="","",SUMIFS('CH008'!G$2:G$4994,'CH008'!E$2:E$4994,D11))</f>
        <v>164</v>
      </c>
      <c r="H11" s="69">
        <f t="shared" si="0"/>
        <v>4</v>
      </c>
      <c r="I11" s="18"/>
      <c r="J11" s="75"/>
      <c r="K11" s="76"/>
      <c r="L11" s="76"/>
      <c r="M11" s="76"/>
      <c r="N11" s="7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4.25" customHeight="1" x14ac:dyDescent="0.3">
      <c r="A12" s="18"/>
      <c r="B12" s="25" t="str">
        <f>IF('Base de donnée articles'!B12="","",'Base de donnée articles'!B12)</f>
        <v>Pate Poffer</v>
      </c>
      <c r="C12" s="25" t="s">
        <v>8</v>
      </c>
      <c r="D12" s="25" t="str">
        <f>IF('Base de donnée articles'!C12="","",'Base de donnée articles'!C12)</f>
        <v>PAT009</v>
      </c>
      <c r="E12" s="11">
        <v>1</v>
      </c>
      <c r="F12" s="18">
        <f>IF(B12="","",SUMIFS('CH008'!F$2:F$4994,'CH008'!E$2:E$4994,D12))</f>
        <v>47</v>
      </c>
      <c r="G12" s="18">
        <f>IF(D12="","",SUMIFS('CH008'!G$2:G$4994,'CH008'!E$2:E$4994,D12))</f>
        <v>47</v>
      </c>
      <c r="H12" s="69">
        <f t="shared" si="0"/>
        <v>1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4.25" customHeight="1" x14ac:dyDescent="0.3">
      <c r="A13" s="18"/>
      <c r="B13" s="25" t="str">
        <f>IF('Base de donnée articles'!B13="","",'Base de donnée articles'!B13)</f>
        <v>KIWI</v>
      </c>
      <c r="C13" s="25" t="s">
        <v>12</v>
      </c>
      <c r="D13" s="25" t="str">
        <f>IF('Base de donnée articles'!C13="","",'Base de donnée articles'!C13)</f>
        <v>FRT004</v>
      </c>
      <c r="E13" s="11">
        <v>7</v>
      </c>
      <c r="F13" s="18">
        <f>IF(B13="","",SUMIFS('CH008'!F$2:F$4994,'CH008'!E$2:E$4994,D13))</f>
        <v>162</v>
      </c>
      <c r="G13" s="18">
        <f>IF(D13="","",SUMIFS('CH008'!G$2:G$4994,'CH008'!E$2:E$4994,D13))</f>
        <v>169</v>
      </c>
      <c r="H13" s="69">
        <f t="shared" si="0"/>
        <v>0</v>
      </c>
      <c r="I13" s="18"/>
      <c r="J13" s="78"/>
      <c r="K13" s="67"/>
      <c r="L13" s="67"/>
      <c r="M13" s="67"/>
      <c r="N13" s="6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4.25" customHeight="1" x14ac:dyDescent="0.3">
      <c r="A14" s="18"/>
      <c r="B14" s="25" t="str">
        <f>IF('Base de donnée articles'!B14="","",'Base de donnée articles'!B14)</f>
        <v>Fraise</v>
      </c>
      <c r="C14" s="25" t="s">
        <v>20</v>
      </c>
      <c r="D14" s="25" t="str">
        <f>IF('Base de donnée articles'!C14="","",'Base de donnée articles'!C14)</f>
        <v>FRT003</v>
      </c>
      <c r="E14" s="11">
        <v>0</v>
      </c>
      <c r="F14" s="18">
        <f>IF(B14="","",SUMIFS('CH008'!F$2:F$4994,'CH008'!E$2:E$4994,D14))</f>
        <v>5.25</v>
      </c>
      <c r="G14" s="18">
        <f>IF(D14="","",SUMIFS('CH008'!G$2:G$4994,'CH008'!E$2:E$4994,D14))</f>
        <v>5.25</v>
      </c>
      <c r="H14" s="69">
        <f t="shared" si="0"/>
        <v>0</v>
      </c>
      <c r="I14" s="18"/>
      <c r="J14" s="79"/>
      <c r="K14" s="80"/>
      <c r="L14" s="18"/>
      <c r="M14" s="18"/>
      <c r="N14" s="81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4.25" customHeight="1" x14ac:dyDescent="0.3">
      <c r="A15" s="18"/>
      <c r="B15" s="25" t="str">
        <f>IF('Base de donnée articles'!B15="","",'Base de donnée articles'!B15)</f>
        <v>Créme Liqude 20cl</v>
      </c>
      <c r="C15" s="25" t="s">
        <v>12</v>
      </c>
      <c r="D15" s="25" t="str">
        <f>IF('Base de donnée articles'!C15="","",'Base de donnée articles'!C15)</f>
        <v>CH055</v>
      </c>
      <c r="E15" s="11">
        <v>60</v>
      </c>
      <c r="F15" s="18">
        <f>IF(B15="","",SUMIFS('CH008'!F$2:F$4994,'CH008'!E$2:E$4994,D15))</f>
        <v>2229</v>
      </c>
      <c r="G15" s="18">
        <f>IF(D15="","",SUMIFS('CH008'!G$2:G$4994,'CH008'!E$2:E$4994,D15))</f>
        <v>2157</v>
      </c>
      <c r="H15" s="69">
        <f t="shared" si="0"/>
        <v>132</v>
      </c>
      <c r="I15" s="18"/>
      <c r="J15" s="82"/>
      <c r="K15" s="142"/>
      <c r="L15" s="136"/>
      <c r="M15" s="136"/>
      <c r="N15" s="13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4.25" customHeight="1" x14ac:dyDescent="0.3">
      <c r="A16" s="18"/>
      <c r="B16" s="25" t="str">
        <f>IF('Base de donnée articles'!B16="","",'Base de donnée articles'!B16)</f>
        <v>Formage gruyère</v>
      </c>
      <c r="C16" s="25" t="s">
        <v>20</v>
      </c>
      <c r="D16" s="25" t="str">
        <f>IF('Base de donnée articles'!C16="","",'Base de donnée articles'!C16)</f>
        <v>SAU011</v>
      </c>
      <c r="E16" s="11">
        <v>4</v>
      </c>
      <c r="F16" s="18">
        <f>IF(B16="","",SUMIFS('CH008'!F$2:F$4994,'CH008'!E$2:E$4994,D16))</f>
        <v>253.48799999999997</v>
      </c>
      <c r="G16" s="18">
        <f>IF(D16="","",SUMIFS('CH008'!G$2:G$4994,'CH008'!E$2:E$4994,D16))</f>
        <v>246.48800000000003</v>
      </c>
      <c r="H16" s="69">
        <f>IF(D16="","",E16+F16-G16)</f>
        <v>10.999999999999915</v>
      </c>
      <c r="I16" s="18"/>
      <c r="J16" s="82"/>
      <c r="K16" s="18"/>
      <c r="L16" s="18"/>
      <c r="M16" s="18"/>
      <c r="N16" s="81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4.25" customHeight="1" x14ac:dyDescent="0.3">
      <c r="A17" s="18"/>
      <c r="B17" s="25" t="str">
        <f>IF('Base de donnée articles'!B17="","",'Base de donnée articles'!B17)</f>
        <v>Formage Raclette</v>
      </c>
      <c r="C17" s="25" t="s">
        <v>20</v>
      </c>
      <c r="D17" s="25" t="str">
        <f>IF('Base de donnée articles'!C17="","",'Base de donnée articles'!C17)</f>
        <v>SAU012</v>
      </c>
      <c r="E17" s="11">
        <v>2.6</v>
      </c>
      <c r="F17" s="18">
        <f>IF(B17="","",SUMIFS('CH008'!F$2:F$4994,'CH008'!E$2:E$4994,D17))</f>
        <v>25.125</v>
      </c>
      <c r="G17" s="18">
        <f>IF(D17="","",SUMIFS('CH008'!G$2:G$4994,'CH008'!E$2:E$4994,D17))</f>
        <v>24.795000000000002</v>
      </c>
      <c r="H17" s="69">
        <f t="shared" si="0"/>
        <v>2.9299999999999997</v>
      </c>
      <c r="I17" s="18"/>
      <c r="J17" s="79"/>
      <c r="K17" s="80"/>
      <c r="L17" s="18"/>
      <c r="M17" s="18"/>
      <c r="N17" s="81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4.25" customHeight="1" x14ac:dyDescent="0.3">
      <c r="A18" s="18"/>
      <c r="B18" s="25" t="str">
        <f>IF('Base de donnée articles'!B18="","",'Base de donnée articles'!B18)</f>
        <v>JAMBON Dinde</v>
      </c>
      <c r="C18" s="25" t="s">
        <v>71</v>
      </c>
      <c r="D18" s="25" t="str">
        <f>IF('Base de donnée articles'!C18="","",'Base de donnée articles'!C18)</f>
        <v>GAR007</v>
      </c>
      <c r="E18" s="11">
        <v>7</v>
      </c>
      <c r="F18" s="18">
        <f>IF(B18="","",SUMIFS('CH008'!F$2:F$4994,'CH008'!E$2:E$4994,D18))</f>
        <v>58</v>
      </c>
      <c r="G18" s="18">
        <f>IF(D18="","",SUMIFS('CH008'!G$2:G$4994,'CH008'!E$2:E$4994,D18))</f>
        <v>65</v>
      </c>
      <c r="H18" s="69">
        <f t="shared" si="0"/>
        <v>0</v>
      </c>
      <c r="I18" s="18"/>
      <c r="J18" s="83"/>
      <c r="K18" s="143"/>
      <c r="L18" s="136"/>
      <c r="M18" s="138"/>
      <c r="N18" s="81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4.25" customHeight="1" x14ac:dyDescent="0.3">
      <c r="A19" s="18"/>
      <c r="B19" s="25" t="str">
        <f>IF('Base de donnée articles'!B19="","",'Base de donnée articles'!B19)</f>
        <v>escalope pané</v>
      </c>
      <c r="C19" s="25" t="s">
        <v>20</v>
      </c>
      <c r="D19" s="25" t="str">
        <f>IF('Base de donnée articles'!C19="","",'Base de donnée articles'!C19)</f>
        <v>GAR004</v>
      </c>
      <c r="E19" s="11">
        <v>10</v>
      </c>
      <c r="F19" s="18">
        <f>IF(B19="","",SUMIFS('CH008'!F$2:F$4994,'CH008'!E$2:E$4994,D19))</f>
        <v>498.08</v>
      </c>
      <c r="G19" s="18">
        <f>IF(D19="","",SUMIFS('CH008'!G$2:G$4994,'CH008'!E$2:E$4994,D19))</f>
        <v>498.08</v>
      </c>
      <c r="H19" s="69">
        <f t="shared" si="0"/>
        <v>10</v>
      </c>
      <c r="I19" s="18"/>
      <c r="J19" s="83"/>
      <c r="K19" s="143"/>
      <c r="L19" s="136"/>
      <c r="M19" s="138"/>
      <c r="N19" s="81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4.25" customHeight="1" x14ac:dyDescent="0.3">
      <c r="A20" s="18"/>
      <c r="B20" s="25" t="str">
        <f>IF('Base de donnée articles'!B20="","",'Base de donnée articles'!B20)</f>
        <v>escalope grillé</v>
      </c>
      <c r="C20" s="25" t="s">
        <v>20</v>
      </c>
      <c r="D20" s="25" t="str">
        <f>IF('Base de donnée articles'!C20="","",'Base de donnée articles'!C20)</f>
        <v>GAR005</v>
      </c>
      <c r="E20" s="11">
        <v>4.9000000000000004</v>
      </c>
      <c r="F20" s="18">
        <f>IF(B20="","",SUMIFS('CH008'!F$2:F$4994,'CH008'!E$2:E$4994,D20))</f>
        <v>445.69</v>
      </c>
      <c r="G20" s="18">
        <f>IF(D20="","",SUMIFS('CH008'!G$2:G$4994,'CH008'!E$2:E$4994,D20))</f>
        <v>438.59000000000003</v>
      </c>
      <c r="H20" s="69">
        <f t="shared" si="0"/>
        <v>11.999999999999943</v>
      </c>
      <c r="I20" s="18"/>
      <c r="J20" s="75"/>
      <c r="K20" s="76"/>
      <c r="L20" s="76"/>
      <c r="M20" s="76"/>
      <c r="N20" s="7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4.25" customHeight="1" x14ac:dyDescent="0.3">
      <c r="A21" s="18"/>
      <c r="B21" s="25" t="str">
        <f>IF('Base de donnée articles'!B21="","",'Base de donnée articles'!B21)</f>
        <v>bubble tea</v>
      </c>
      <c r="C21" s="25" t="s">
        <v>8</v>
      </c>
      <c r="D21" s="25" t="str">
        <f>IF('Base de donnée articles'!C21="","",'Base de donnée articles'!C21)</f>
        <v>CH027</v>
      </c>
      <c r="E21" s="11">
        <v>8</v>
      </c>
      <c r="F21" s="18">
        <f>IF(B21="","",SUMIFS('CH008'!F$2:F$4994,'CH008'!E$2:E$4994,D21))</f>
        <v>16</v>
      </c>
      <c r="G21" s="18">
        <f>IF(D21="","",SUMIFS('CH008'!G$2:G$4994,'CH008'!E$2:E$4994,D21))</f>
        <v>24</v>
      </c>
      <c r="H21" s="69">
        <f t="shared" si="0"/>
        <v>0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4.25" customHeight="1" x14ac:dyDescent="0.3">
      <c r="A22" s="18"/>
      <c r="B22" s="25" t="str">
        <f>IF('Base de donnée articles'!B22="","",'Base de donnée articles'!B22)</f>
        <v>sauce pesto</v>
      </c>
      <c r="C22" s="25" t="s">
        <v>8</v>
      </c>
      <c r="D22" s="25" t="str">
        <f>IF('Base de donnée articles'!C22="","",'Base de donnée articles'!C22)</f>
        <v>GAR013</v>
      </c>
      <c r="E22" s="11">
        <v>3</v>
      </c>
      <c r="F22" s="18">
        <f>IF(B22="","",SUMIFS('CH008'!F$2:F$4994,'CH008'!E$2:E$4994,D22))</f>
        <v>4</v>
      </c>
      <c r="G22" s="18">
        <f>IF(D22="","",SUMIFS('CH008'!G$2:G$4994,'CH008'!E$2:E$4994,D22))</f>
        <v>7</v>
      </c>
      <c r="H22" s="69">
        <f t="shared" si="0"/>
        <v>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4.25" customHeight="1" x14ac:dyDescent="0.3">
      <c r="A23" s="18"/>
      <c r="B23" s="25" t="str">
        <f>IF('Base de donnée articles'!B23="","",'Base de donnée articles'!B23)</f>
        <v>Formage Mozzerella</v>
      </c>
      <c r="C23" s="25" t="s">
        <v>20</v>
      </c>
      <c r="D23" s="25" t="str">
        <f>IF('Base de donnée articles'!C23="","",'Base de donnée articles'!C23)</f>
        <v>SAU010</v>
      </c>
      <c r="E23" s="130">
        <v>4.4000000000000004</v>
      </c>
      <c r="F23" s="18">
        <f>IF(B23="","",SUMIFS('CH008'!F$2:F$4994,'CH008'!E$2:E$4994,D23))</f>
        <v>208.97999999999996</v>
      </c>
      <c r="G23" s="18">
        <f>IF(D23="","",SUMIFS('CH008'!G$2:G$4994,'CH008'!E$2:E$4994,D23))</f>
        <v>200.88</v>
      </c>
      <c r="H23" s="113">
        <f t="shared" si="0"/>
        <v>12.499999999999972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4.25" customHeight="1" x14ac:dyDescent="0.3">
      <c r="A24" s="18"/>
      <c r="B24" s="25" t="str">
        <f>IF('Base de donnée articles'!B24="","",'Base de donnée articles'!B24)</f>
        <v xml:space="preserve">       Milka</v>
      </c>
      <c r="C24" s="25" t="s">
        <v>12</v>
      </c>
      <c r="D24" s="25" t="str">
        <f>IF('Base de donnée articles'!C24="","",'Base de donnée articles'!C24)</f>
        <v>CH002</v>
      </c>
      <c r="E24" s="11">
        <v>4</v>
      </c>
      <c r="F24" s="18">
        <f>IF(B24="","",SUMIFS('CH008'!F$2:F$4994,'CH008'!E$2:E$4994,D24))</f>
        <v>358</v>
      </c>
      <c r="G24" s="18">
        <f>IF(D24="","",SUMIFS('CH008'!G$2:G$4994,'CH008'!E$2:E$4994,D24))</f>
        <v>358</v>
      </c>
      <c r="H24" s="69">
        <f t="shared" si="0"/>
        <v>4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4.25" customHeight="1" x14ac:dyDescent="0.3">
      <c r="A25" s="18"/>
      <c r="B25" s="25" t="str">
        <f>IF('Base de donnée articles'!B25="","",'Base de donnée articles'!B25)</f>
        <v>Banane</v>
      </c>
      <c r="C25" s="25" t="s">
        <v>20</v>
      </c>
      <c r="D25" s="25" t="str">
        <f>IF('Base de donnée articles'!C25="","",'Base de donnée articles'!C25)</f>
        <v>FRT002</v>
      </c>
      <c r="E25" s="11">
        <v>0</v>
      </c>
      <c r="F25" s="18">
        <f>IF(B25="","",SUMIFS('CH008'!F$2:F$4994,'CH008'!E$2:E$4994,D25))</f>
        <v>37</v>
      </c>
      <c r="G25" s="18">
        <f>IF(D25="","",SUMIFS('CH008'!G$2:G$4994,'CH008'!E$2:E$4994,D25))</f>
        <v>37</v>
      </c>
      <c r="H25" s="69">
        <f t="shared" si="0"/>
        <v>0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4.25" customHeight="1" x14ac:dyDescent="0.3">
      <c r="A26" s="18"/>
      <c r="B26" s="25" t="str">
        <f>IF('Base de donnée articles'!B26="","",'Base de donnée articles'!B26)</f>
        <v>Pepperoni</v>
      </c>
      <c r="C26" s="25" t="s">
        <v>71</v>
      </c>
      <c r="D26" s="25" t="str">
        <f>IF('Base de donnée articles'!C26="","",'Base de donnée articles'!C26)</f>
        <v>GAR011</v>
      </c>
      <c r="E26" s="11">
        <v>7</v>
      </c>
      <c r="F26" s="18">
        <f>IF(B26="","",SUMIFS('CH008'!F$2:F$4994,'CH008'!E$2:E$4994,D26))</f>
        <v>26</v>
      </c>
      <c r="G26" s="18">
        <f>IF(D26="","",SUMIFS('CH008'!G$2:G$4994,'CH008'!E$2:E$4994,D26))</f>
        <v>30</v>
      </c>
      <c r="H26" s="69">
        <f t="shared" si="0"/>
        <v>3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4.25" customHeight="1" x14ac:dyDescent="0.3">
      <c r="A27" s="18"/>
      <c r="B27" s="25" t="str">
        <f>IF('Base de donnée articles'!B27="","",'Base de donnée articles'!B27)</f>
        <v xml:space="preserve">Tomate </v>
      </c>
      <c r="C27" s="25" t="s">
        <v>20</v>
      </c>
      <c r="D27" s="25" t="str">
        <f>IF('Base de donnée articles'!C27="","",'Base de donnée articles'!C27)</f>
        <v>FRT008</v>
      </c>
      <c r="E27" s="11">
        <v>0.8</v>
      </c>
      <c r="F27" s="18">
        <f>IF(B27="","",SUMIFS('CH008'!F$2:F$4994,'CH008'!E$2:E$4994,D27))</f>
        <v>4.5</v>
      </c>
      <c r="G27" s="18">
        <f>IF(D27="","",SUMIFS('CH008'!G$2:G$4994,'CH008'!E$2:E$4994,D27))</f>
        <v>5.3</v>
      </c>
      <c r="H27" s="69">
        <f t="shared" si="0"/>
        <v>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4.25" customHeight="1" x14ac:dyDescent="0.3">
      <c r="A28" s="18"/>
      <c r="B28" s="25" t="str">
        <f>IF('Base de donnée articles'!B28="","",'Base de donnée articles'!B28)</f>
        <v>oeufs</v>
      </c>
      <c r="C28" s="25" t="s">
        <v>12</v>
      </c>
      <c r="D28" s="25" t="str">
        <f>IF('Base de donnée articles'!C28="","",'Base de donnée articles'!C28)</f>
        <v>FRT006</v>
      </c>
      <c r="E28" s="11">
        <v>0</v>
      </c>
      <c r="F28" s="18">
        <f>IF(B28="","",SUMIFS('CH008'!F$2:F$4994,'CH008'!E$2:E$4994,D28))</f>
        <v>641</v>
      </c>
      <c r="G28" s="18">
        <f>IF(D28="","",SUMIFS('CH008'!G$2:G$4994,'CH008'!E$2:E$4994,D28))</f>
        <v>581</v>
      </c>
      <c r="H28" s="69">
        <f t="shared" si="0"/>
        <v>60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4.25" customHeight="1" x14ac:dyDescent="0.3">
      <c r="A29" s="18"/>
      <c r="B29" s="25" t="str">
        <f>IF('Base de donnée articles'!B29="","",'Base de donnée articles'!B29)</f>
        <v>Concombre</v>
      </c>
      <c r="C29" s="25" t="s">
        <v>20</v>
      </c>
      <c r="D29" s="25" t="str">
        <f>IF('Base de donnée articles'!C29="","",'Base de donnée articles'!C29)</f>
        <v>FRT007</v>
      </c>
      <c r="E29" s="11">
        <v>0.5</v>
      </c>
      <c r="F29" s="18">
        <f>IF(B29="","",SUMIFS('CH008'!F$2:F$4994,'CH008'!E$2:E$4994,D29))</f>
        <v>4</v>
      </c>
      <c r="G29" s="18">
        <f>IF(D29="","",SUMIFS('CH008'!G$2:G$4994,'CH008'!E$2:E$4994,D29))</f>
        <v>4.5</v>
      </c>
      <c r="H29" s="69">
        <f t="shared" si="0"/>
        <v>0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4.25" customHeight="1" x14ac:dyDescent="0.3">
      <c r="A30" s="18"/>
      <c r="B30" s="25" t="str">
        <f>IF('Base de donnée articles'!B30="","",'Base de donnée articles'!B30)</f>
        <v>JAMBON FUME</v>
      </c>
      <c r="C30" s="25" t="s">
        <v>20</v>
      </c>
      <c r="D30" s="25" t="str">
        <f>IF('Base de donnée articles'!C30="","",'Base de donnée articles'!C30)</f>
        <v>GAR014</v>
      </c>
      <c r="E30" s="11">
        <v>1</v>
      </c>
      <c r="F30" s="18">
        <f>IF(B30="","",SUMIFS('CH008'!F$2:F$4994,'CH008'!E$2:E$4994,D30))</f>
        <v>39.4</v>
      </c>
      <c r="G30" s="18">
        <f>IF(D30="","",SUMIFS('CH008'!G$2:G$4994,'CH008'!E$2:E$4994,D30))</f>
        <v>40.4</v>
      </c>
      <c r="H30" s="69">
        <f t="shared" si="0"/>
        <v>0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4.25" customHeight="1" x14ac:dyDescent="0.3">
      <c r="A31" s="18"/>
      <c r="B31" s="25" t="str">
        <f>IF('Base de donnée articles'!B31="","",'Base de donnée articles'!B31)</f>
        <v>Cacahouéte</v>
      </c>
      <c r="C31" s="25" t="s">
        <v>20</v>
      </c>
      <c r="D31" s="25" t="str">
        <f>IF('Base de donnée articles'!C31="","",'Base de donnée articles'!C31)</f>
        <v>FRT103</v>
      </c>
      <c r="E31" s="11">
        <v>0</v>
      </c>
      <c r="F31" s="18">
        <f>IF(B31="","",SUMIFS('CH008'!F$2:F$4994,'CH008'!E$2:E$4994,D31))</f>
        <v>9.6</v>
      </c>
      <c r="G31" s="18">
        <f>IF(D31="","",SUMIFS('CH008'!G$2:G$4994,'CH008'!E$2:E$4994,D31))</f>
        <v>9.6</v>
      </c>
      <c r="H31" s="69">
        <f t="shared" si="0"/>
        <v>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4.25" customHeight="1" x14ac:dyDescent="0.3">
      <c r="A32" s="18"/>
      <c r="B32" s="25" t="str">
        <f>IF('Base de donnée articles'!B32="","",'Base de donnée articles'!B32)</f>
        <v>tiramiso</v>
      </c>
      <c r="C32" s="25" t="s">
        <v>12</v>
      </c>
      <c r="D32" s="25" t="str">
        <f>IF('Base de donnée articles'!C32="","",'Base de donnée articles'!C32)</f>
        <v>CH024</v>
      </c>
      <c r="E32" s="11">
        <v>0</v>
      </c>
      <c r="F32" s="18">
        <f>IF(B32="","",SUMIFS('CH008'!F$2:F$4994,'CH008'!E$2:E$4994,D32))</f>
        <v>229</v>
      </c>
      <c r="G32" s="18">
        <f>IF(D32="","",SUMIFS('CH008'!G$2:G$4994,'CH008'!E$2:E$4994,D32))</f>
        <v>229</v>
      </c>
      <c r="H32" s="69">
        <f t="shared" si="0"/>
        <v>0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4.25" customHeight="1" x14ac:dyDescent="0.3">
      <c r="A33" s="18"/>
      <c r="B33" s="25" t="str">
        <f>IF('Base de donnée articles'!B35="","",'Base de donnée articles'!B35)</f>
        <v>Escalop crespy</v>
      </c>
      <c r="C33" s="25" t="s">
        <v>20</v>
      </c>
      <c r="D33" s="25" t="str">
        <f>IF('Base de donnée articles'!C35="","",'Base de donnée articles'!C35)</f>
        <v>GAR010</v>
      </c>
      <c r="E33" s="11">
        <v>0</v>
      </c>
      <c r="F33" s="18">
        <f>IF(B33="","",SUMIFS('CH008'!F$2:F$4994,'CH008'!E$2:E$4994,D33))</f>
        <v>0</v>
      </c>
      <c r="G33" s="18">
        <f>IF(D33="","",SUMIFS('CH008'!G$2:G$4994,'CH008'!E$2:E$4994,D33))</f>
        <v>0</v>
      </c>
      <c r="H33" s="69">
        <f t="shared" si="0"/>
        <v>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4.25" customHeight="1" x14ac:dyDescent="0.3">
      <c r="A34" s="18"/>
      <c r="B34" s="25" t="str">
        <f>IF('Base de donnée articles'!B36="","",'Base de donnée articles'!B36)</f>
        <v>oréo</v>
      </c>
      <c r="C34" s="25" t="s">
        <v>20</v>
      </c>
      <c r="D34" s="25" t="str">
        <f>IF('Base de donnée articles'!C36="","",'Base de donnée articles'!C36)</f>
        <v>CH019</v>
      </c>
      <c r="E34" s="11">
        <v>9</v>
      </c>
      <c r="F34" s="18">
        <f>IF(B34="","",SUMIFS('CH008'!F$2:F$4994,'CH008'!E$2:E$4994,D34))</f>
        <v>10.4</v>
      </c>
      <c r="G34" s="18">
        <f>IF(D34="","",SUMIFS('CH008'!G$2:G$4994,'CH008'!E$2:E$4994,D34))</f>
        <v>19.399999999999999</v>
      </c>
      <c r="H34" s="69">
        <f t="shared" si="0"/>
        <v>0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4.25" customHeight="1" x14ac:dyDescent="0.3">
      <c r="A35" s="18"/>
      <c r="B35" s="25" t="str">
        <f>IF('Base de donnée articles'!B37="","",'Base de donnée articles'!B37)</f>
        <v>Dosset mayonnes</v>
      </c>
      <c r="C35" s="25" t="s">
        <v>33</v>
      </c>
      <c r="D35" s="25" t="str">
        <f>IF('Base de donnée articles'!C37="","",'Base de donnée articles'!C37)</f>
        <v>MAY</v>
      </c>
      <c r="E35" s="11">
        <v>0</v>
      </c>
      <c r="F35" s="18">
        <f>IF(B35="","",SUMIFS('CH008'!F$2:F$4994,'CH008'!E$2:E$4994,D35))</f>
        <v>11</v>
      </c>
      <c r="G35" s="18">
        <f>IF(D35="","",SUMIFS('CH008'!G$2:G$4994,'CH008'!E$2:E$4994,D35))</f>
        <v>10</v>
      </c>
      <c r="H35" s="69">
        <f t="shared" si="0"/>
        <v>1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4.25" customHeight="1" x14ac:dyDescent="0.3">
      <c r="A36" s="18"/>
      <c r="B36" s="25" t="str">
        <f>IF('Base de donnée articles'!B38="","",'Base de donnée articles'!B38)</f>
        <v>Dosset ketchup</v>
      </c>
      <c r="C36" s="25" t="s">
        <v>33</v>
      </c>
      <c r="D36" s="25" t="str">
        <f>IF('Base de donnée articles'!C38="","",'Base de donnée articles'!C38)</f>
        <v>KET</v>
      </c>
      <c r="E36" s="11">
        <v>0</v>
      </c>
      <c r="F36" s="18">
        <f>IF(B36="","",SUMIFS('CH008'!F$2:F$4994,'CH008'!E$2:E$4994,D36))</f>
        <v>10</v>
      </c>
      <c r="G36" s="18">
        <f>IF(D36="","",SUMIFS('CH008'!G$2:G$4994,'CH008'!E$2:E$4994,D36))</f>
        <v>9</v>
      </c>
      <c r="H36" s="69">
        <f t="shared" si="0"/>
        <v>1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4.25" customHeight="1" x14ac:dyDescent="0.3">
      <c r="A37" s="18"/>
      <c r="B37" s="25" t="str">
        <f>IF('Base de donnée articles'!B39="","",'Base de donnée articles'!B39)</f>
        <v>chantilly</v>
      </c>
      <c r="C37" s="25" t="s">
        <v>12</v>
      </c>
      <c r="D37" s="25" t="str">
        <f>IF('Base de donnée articles'!C39="","",'Base de donnée articles'!C39)</f>
        <v>CH025</v>
      </c>
      <c r="E37" s="11">
        <v>6</v>
      </c>
      <c r="F37" s="18">
        <f>IF(B37="","",SUMIFS('CH008'!F$2:F$4994,'CH008'!E$2:E$4994,D37))</f>
        <v>187</v>
      </c>
      <c r="G37" s="18">
        <f>IF(D37="","",SUMIFS('CH008'!G$2:G$4994,'CH008'!E$2:E$4994,D37))</f>
        <v>185</v>
      </c>
      <c r="H37" s="69">
        <f t="shared" si="0"/>
        <v>8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4.25" customHeight="1" x14ac:dyDescent="0.3">
      <c r="A38" s="18"/>
      <c r="B38" s="25" t="str">
        <f>IF('Base de donnée articles'!B40="","",'Base de donnée articles'!B40)</f>
        <v>Kinder Bueno</v>
      </c>
      <c r="C38" s="25" t="s">
        <v>12</v>
      </c>
      <c r="D38" s="25" t="str">
        <f>IF('Base de donnée articles'!C40="","",'Base de donnée articles'!C40)</f>
        <v>CH001</v>
      </c>
      <c r="E38" s="11">
        <v>752</v>
      </c>
      <c r="F38" s="18">
        <f>IF(B38="","",SUMIFS('CH008'!F$2:F$4994,'CH008'!E$2:E$4994,D38))</f>
        <v>1962</v>
      </c>
      <c r="G38" s="18">
        <f>IF(D38="","",SUMIFS('CH008'!G$2:G$4994,'CH008'!E$2:E$4994,D38))</f>
        <v>2594</v>
      </c>
      <c r="H38" s="69">
        <f t="shared" si="0"/>
        <v>120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4.25" customHeight="1" x14ac:dyDescent="0.3">
      <c r="A39" s="18"/>
      <c r="B39" s="25" t="str">
        <f>IF('Base de donnée articles'!B41="","",'Base de donnée articles'!B41)</f>
        <v>Kinder T 4</v>
      </c>
      <c r="C39" s="25" t="s">
        <v>12</v>
      </c>
      <c r="D39" s="25" t="str">
        <f>IF('Base de donnée articles'!C41="","",'Base de donnée articles'!C41)</f>
        <v>CH007</v>
      </c>
      <c r="E39" s="11">
        <v>544</v>
      </c>
      <c r="F39" s="18">
        <f>IF(B39="","",SUMIFS('CH008'!F$2:F$4994,'CH008'!E$2:E$4994,D39))</f>
        <v>5680</v>
      </c>
      <c r="G39" s="18">
        <f>IF(D39="","",SUMIFS('CH008'!G$2:G$4994,'CH008'!E$2:E$4994,D39))</f>
        <v>3584</v>
      </c>
      <c r="H39" s="69">
        <f t="shared" si="0"/>
        <v>2640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4.25" customHeight="1" x14ac:dyDescent="0.3">
      <c r="A40" s="18"/>
      <c r="B40" s="25" t="str">
        <f>IF('Base de donnée articles'!B42="","",'Base de donnée articles'!B42)</f>
        <v>KitKat</v>
      </c>
      <c r="C40" s="25" t="s">
        <v>12</v>
      </c>
      <c r="D40" s="25" t="str">
        <f>IF('Base de donnée articles'!C42="","",'Base de donnée articles'!C42)</f>
        <v>CH011</v>
      </c>
      <c r="E40" s="11">
        <v>9</v>
      </c>
      <c r="F40" s="18">
        <f>IF(B40="","",SUMIFS('CH008'!F$2:F$4994,'CH008'!E$2:E$4994,D40))</f>
        <v>306</v>
      </c>
      <c r="G40" s="18">
        <f>IF(D40="","",SUMIFS('CH008'!G$2:G$4994,'CH008'!E$2:E$4994,D40))</f>
        <v>315</v>
      </c>
      <c r="H40" s="69">
        <f t="shared" si="0"/>
        <v>0</v>
      </c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4.25" customHeight="1" x14ac:dyDescent="0.3">
      <c r="A41" s="18"/>
      <c r="B41" s="25" t="str">
        <f>IF('Base de donnée articles'!B43="","",'Base de donnée articles'!B43)</f>
        <v>Ferero Rocher</v>
      </c>
      <c r="C41" s="25" t="s">
        <v>12</v>
      </c>
      <c r="D41" s="25" t="str">
        <f>IF('Base de donnée articles'!C43="","",'Base de donnée articles'!C43)</f>
        <v>CH009</v>
      </c>
      <c r="E41" s="11">
        <v>2302</v>
      </c>
      <c r="F41" s="18">
        <f>IF(B41="","",SUMIFS('CH008'!F$2:F$4994,'CH008'!E$2:E$4994,D41))</f>
        <v>3236</v>
      </c>
      <c r="G41" s="18">
        <f>IF(D41="","",SUMIFS('CH008'!G$2:G$4994,'CH008'!E$2:E$4994,D41))</f>
        <v>4498</v>
      </c>
      <c r="H41" s="69">
        <f t="shared" si="0"/>
        <v>1040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4.25" customHeight="1" x14ac:dyDescent="0.3">
      <c r="A42" s="18"/>
      <c r="B42" s="25" t="str">
        <f>IF('Base de donnée articles'!B44="","",'Base de donnée articles'!B44)</f>
        <v>Rafaello</v>
      </c>
      <c r="C42" s="25" t="s">
        <v>12</v>
      </c>
      <c r="D42" s="25" t="str">
        <f>IF('Base de donnée articles'!C44="","",'Base de donnée articles'!C44)</f>
        <v>CH008</v>
      </c>
      <c r="E42" s="11">
        <v>121</v>
      </c>
      <c r="F42" s="18">
        <f>IF(B42="","",SUMIFS('CH008'!F$2:F$4994,'CH008'!E$2:E$4994,D42))</f>
        <v>1058</v>
      </c>
      <c r="G42" s="18">
        <f>IF(D42="","",SUMIFS('CH008'!G$2:G$4994,'CH008'!E$2:E$4994,D42))</f>
        <v>1179</v>
      </c>
      <c r="H42" s="131">
        <f t="shared" si="0"/>
        <v>0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4.25" customHeight="1" x14ac:dyDescent="0.3">
      <c r="A43" s="18"/>
      <c r="B43" s="25" t="str">
        <f>IF('Base de donnée articles'!B45="","",'Base de donnée articles'!B45)</f>
        <v>Snickers</v>
      </c>
      <c r="C43" s="25" t="s">
        <v>12</v>
      </c>
      <c r="D43" s="25" t="str">
        <f>IF('Base de donnée articles'!C45="","",'Base de donnée articles'!C45)</f>
        <v>CH005</v>
      </c>
      <c r="E43" s="11">
        <v>145</v>
      </c>
      <c r="F43" s="18">
        <f>IF(B43="","",SUMIFS('CH008'!F$2:F$4994,'CH008'!E$2:E$4994,D43))</f>
        <v>450</v>
      </c>
      <c r="G43" s="18">
        <f>IF(D43="","",SUMIFS('CH008'!G$2:G$4994,'CH008'!E$2:E$4994,D43))</f>
        <v>580</v>
      </c>
      <c r="H43" s="131">
        <f t="shared" si="0"/>
        <v>15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4.25" customHeight="1" x14ac:dyDescent="0.3">
      <c r="A44" s="18"/>
      <c r="B44" s="25" t="str">
        <f>IF('Base de donnée articles'!B46="","",'Base de donnée articles'!B46)</f>
        <v>Chaplure</v>
      </c>
      <c r="C44" s="25" t="s">
        <v>20</v>
      </c>
      <c r="D44" s="25" t="str">
        <f>IF('Base de donnée articles'!C46="","",'Base de donnée articles'!C46)</f>
        <v>CH070</v>
      </c>
      <c r="E44" s="11">
        <v>2</v>
      </c>
      <c r="F44" s="18">
        <f>IF(B44="","",SUMIFS('CH008'!F$2:F$4994,'CH008'!E$2:E$4994,D44))</f>
        <v>181.95</v>
      </c>
      <c r="G44" s="18">
        <f>IF(D44="","",SUMIFS('CH008'!G$2:G$4994,'CH008'!E$2:E$4994,D44))</f>
        <v>168.95000000000002</v>
      </c>
      <c r="H44" s="69">
        <f t="shared" si="0"/>
        <v>14.999999999999972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4.25" customHeight="1" x14ac:dyDescent="0.3">
      <c r="A45" s="18"/>
      <c r="B45" s="25" t="str">
        <f>IF('Base de donnée articles'!B47="","",'Base de donnée articles'!B47)</f>
        <v>Créme LIqude 1l</v>
      </c>
      <c r="C45" s="25" t="s">
        <v>20</v>
      </c>
      <c r="D45" s="25" t="str">
        <f>IF('Base de donnée articles'!C47="","",'Base de donnée articles'!C47)</f>
        <v>CH071</v>
      </c>
      <c r="E45" s="57">
        <v>7</v>
      </c>
      <c r="F45" s="18">
        <f>IF(B45="","",SUMIFS('CH008'!F$2:F$4994,'CH008'!E$2:E$4994,D45))</f>
        <v>396</v>
      </c>
      <c r="G45" s="18">
        <f>IF(D45="","",SUMIFS('CH008'!G$2:G$4994,'CH008'!E$2:E$4994,D45))</f>
        <v>403</v>
      </c>
      <c r="H45" s="69">
        <f t="shared" si="0"/>
        <v>0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4.25" customHeight="1" x14ac:dyDescent="0.3">
      <c r="A46" s="18"/>
      <c r="B46" s="25" t="str">
        <f>IF('Base de donnée articles'!B48="","",'Base de donnée articles'!B48)</f>
        <v>Formage Rappé TACOS</v>
      </c>
      <c r="C46" s="25" t="s">
        <v>20</v>
      </c>
      <c r="D46" s="25" t="str">
        <f>IF('Base de donnée articles'!C48="","",'Base de donnée articles'!C48)</f>
        <v>SAU100</v>
      </c>
      <c r="E46" s="11">
        <v>0</v>
      </c>
      <c r="F46" s="18">
        <f>IF(B46="","",SUMIFS('CH008'!F$2:F$4994,'CH008'!E$2:E$4994,D46))</f>
        <v>0</v>
      </c>
      <c r="G46" s="18">
        <f>IF(D46="","",SUMIFS('CH008'!G$2:G$4994,'CH008'!E$2:E$4994,D46))</f>
        <v>0</v>
      </c>
      <c r="H46" s="69">
        <f t="shared" si="0"/>
        <v>0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4.25" customHeight="1" x14ac:dyDescent="0.3">
      <c r="A47" s="18"/>
      <c r="B47" s="25" t="str">
        <f>IF('Base de donnée articles'!B49="","",'Base de donnée articles'!B49)</f>
        <v>NOISETTE</v>
      </c>
      <c r="C47" s="25" t="s">
        <v>20</v>
      </c>
      <c r="D47" s="25" t="str">
        <f>IF('Base de donnée articles'!C49="","",'Base de donnée articles'!C49)</f>
        <v>FRT100</v>
      </c>
      <c r="E47" s="11">
        <v>11.2</v>
      </c>
      <c r="F47" s="18">
        <f>IF(B47="","",SUMIFS('CH008'!F$2:F$4994,'CH008'!E$2:E$4994,D47))</f>
        <v>104.7</v>
      </c>
      <c r="G47" s="18">
        <f>IF(D47="","",SUMIFS('CH008'!G$2:G$4994,'CH008'!E$2:E$4994,D47))</f>
        <v>115.9</v>
      </c>
      <c r="H47" s="69">
        <f t="shared" si="0"/>
        <v>0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4.25" customHeight="1" x14ac:dyDescent="0.3">
      <c r="A48" s="18"/>
      <c r="B48" s="25" t="str">
        <f>IF('Base de donnée articles'!B50="","",'Base de donnée articles'!B50)</f>
        <v>CHARGE GAZ</v>
      </c>
      <c r="C48" s="25" t="s">
        <v>12</v>
      </c>
      <c r="D48" s="25" t="str">
        <f>IF('Base de donnée articles'!C50="","",'Base de donnée articles'!C50)</f>
        <v>GAZ</v>
      </c>
      <c r="E48" s="11">
        <v>0</v>
      </c>
      <c r="F48" s="18">
        <f>IF(B48="","",SUMIFS('CH008'!F$2:F$4994,'CH008'!E$2:E$4994,D48))</f>
        <v>5</v>
      </c>
      <c r="G48" s="18">
        <f>IF(D48="","",SUMIFS('CH008'!G$2:G$4994,'CH008'!E$2:E$4994,D48))</f>
        <v>5</v>
      </c>
      <c r="H48" s="69">
        <f t="shared" si="0"/>
        <v>0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4.25" customHeight="1" x14ac:dyDescent="0.3">
      <c r="A49" s="18"/>
      <c r="B49" s="25" t="str">
        <f>IF('Base de donnée articles'!B51="","",'Base de donnée articles'!B51)</f>
        <v>CHEESE CAKE</v>
      </c>
      <c r="C49" s="25" t="s">
        <v>12</v>
      </c>
      <c r="D49" s="25" t="str">
        <f>IF('Base de donnée articles'!C51="","",'Base de donnée articles'!C51)</f>
        <v>CH026</v>
      </c>
      <c r="E49" s="11">
        <v>21</v>
      </c>
      <c r="F49" s="18">
        <f>IF(B49="","",SUMIFS('CH008'!F$2:F$4994,'CH008'!E$2:E$4994,D49))</f>
        <v>174</v>
      </c>
      <c r="G49" s="18">
        <f>IF(D49="","",SUMIFS('CH008'!G$2:G$4994,'CH008'!E$2:E$4994,D49))</f>
        <v>195</v>
      </c>
      <c r="H49" s="69">
        <f t="shared" si="0"/>
        <v>0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4.25" customHeight="1" x14ac:dyDescent="0.3">
      <c r="A50" s="18"/>
      <c r="B50" s="25" t="str">
        <f>IF('Base de donnée articles'!B52="","",'Base de donnée articles'!B52)</f>
        <v>SODA Délico</v>
      </c>
      <c r="C50" s="25" t="s">
        <v>12</v>
      </c>
      <c r="D50" s="25" t="str">
        <f>IF('Base de donnée articles'!C52="","",'Base de donnée articles'!C52)</f>
        <v>BOI011</v>
      </c>
      <c r="E50" s="11">
        <v>0</v>
      </c>
      <c r="F50" s="18">
        <f>IF(B50="","",SUMIFS('CH008'!F$2:F$4994,'CH008'!E$2:E$4994,D50))</f>
        <v>0</v>
      </c>
      <c r="G50" s="18">
        <f>IF(D50="","",SUMIFS('CH008'!G$2:G$4994,'CH008'!E$2:E$4994,D50))</f>
        <v>0</v>
      </c>
      <c r="H50" s="69">
        <f t="shared" si="0"/>
        <v>0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4.25" customHeight="1" x14ac:dyDescent="0.3">
      <c r="A51" s="18"/>
      <c r="B51" s="25" t="str">
        <f>IF('Base de donnée articles'!B53="","",'Base de donnée articles'!B53)</f>
        <v>Pistache Cancasser</v>
      </c>
      <c r="C51" s="25" t="s">
        <v>20</v>
      </c>
      <c r="D51" s="25" t="str">
        <f>IF('Base de donnée articles'!C53="","",'Base de donnée articles'!C53)</f>
        <v>FRT101</v>
      </c>
      <c r="E51" s="11">
        <v>4.8</v>
      </c>
      <c r="F51" s="18">
        <f>IF(B51="","",SUMIFS('CH008'!F$2:F$4994,'CH008'!E$2:E$4994,D51))</f>
        <v>12.89</v>
      </c>
      <c r="G51" s="18">
        <f>IF(D51="","",SUMIFS('CH008'!G$2:G$4994,'CH008'!E$2:E$4994,D51))</f>
        <v>17.690000000000001</v>
      </c>
      <c r="H51" s="69">
        <f t="shared" si="0"/>
        <v>0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4.25" customHeight="1" x14ac:dyDescent="0.3">
      <c r="A52" s="18"/>
      <c r="B52" s="25" t="str">
        <f>IF('Base de donnée articles'!B54="","",'Base de donnée articles'!B54)</f>
        <v>Amande</v>
      </c>
      <c r="C52" s="25" t="s">
        <v>20</v>
      </c>
      <c r="D52" s="25" t="str">
        <f>IF('Base de donnée articles'!C54="","",'Base de donnée articles'!C54)</f>
        <v>FRT200</v>
      </c>
      <c r="E52" s="11">
        <v>2</v>
      </c>
      <c r="F52" s="18">
        <f>IF(B52="","",SUMIFS('CH008'!F$2:F$4994,'CH008'!E$2:E$4994,D52))</f>
        <v>17.8</v>
      </c>
      <c r="G52" s="18">
        <f>IF(D52="","",SUMIFS('CH008'!G$2:G$4994,'CH008'!E$2:E$4994,D52))</f>
        <v>19.8</v>
      </c>
      <c r="H52" s="69">
        <f t="shared" si="0"/>
        <v>0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4.25" customHeight="1" x14ac:dyDescent="0.3">
      <c r="A53" s="18"/>
      <c r="B53" s="25" t="str">
        <f>IF('Base de donnée articles'!B55="","",'Base de donnée articles'!B55)</f>
        <v>Chocolat Blanc</v>
      </c>
      <c r="C53" s="25" t="s">
        <v>20</v>
      </c>
      <c r="D53" s="25" t="str">
        <f>IF('Base de donnée articles'!C55="","",'Base de donnée articles'!C55)</f>
        <v>CH013</v>
      </c>
      <c r="E53" s="11">
        <v>0</v>
      </c>
      <c r="F53" s="18">
        <f>IF(B53="","",SUMIFS('CH008'!F$2:F$4994,'CH008'!E$2:E$4994,D53))</f>
        <v>95</v>
      </c>
      <c r="G53" s="18">
        <f>IF(D53="","",SUMIFS('CH008'!G$2:G$4994,'CH008'!E$2:E$4994,D53))</f>
        <v>95</v>
      </c>
      <c r="H53" s="69">
        <f t="shared" si="0"/>
        <v>0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4.25" customHeight="1" x14ac:dyDescent="0.3">
      <c r="A54" s="18"/>
      <c r="B54" s="25" t="str">
        <f>IF('Base de donnée articles'!B56="","",'Base de donnée articles'!B56)</f>
        <v>Chocolat Noir</v>
      </c>
      <c r="C54" s="25" t="s">
        <v>20</v>
      </c>
      <c r="D54" s="25" t="str">
        <f>IF('Base de donnée articles'!C56="","",'Base de donnée articles'!C56)</f>
        <v>CH014</v>
      </c>
      <c r="E54" s="11">
        <v>0</v>
      </c>
      <c r="F54" s="18">
        <f>IF(B54="","",SUMIFS('CH008'!F$2:F$4994,'CH008'!E$2:E$4994,D54))</f>
        <v>40</v>
      </c>
      <c r="G54" s="18">
        <f>IF(D54="","",SUMIFS('CH008'!G$2:G$4994,'CH008'!E$2:E$4994,D54))</f>
        <v>40</v>
      </c>
      <c r="H54" s="69">
        <f t="shared" si="0"/>
        <v>0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4.25" customHeight="1" x14ac:dyDescent="0.3">
      <c r="A55" s="18"/>
      <c r="B55" s="25" t="str">
        <f>IF('Base de donnée articles'!B57="","",'Base de donnée articles'!B57)</f>
        <v>Chocolat au Lait</v>
      </c>
      <c r="C55" s="25" t="s">
        <v>20</v>
      </c>
      <c r="D55" s="25" t="str">
        <f>IF('Base de donnée articles'!C57="","",'Base de donnée articles'!C57)</f>
        <v>CH015</v>
      </c>
      <c r="E55" s="11">
        <v>12.5</v>
      </c>
      <c r="F55" s="18">
        <f>IF(B55="","",SUMIFS('CH008'!F$2:F$4994,'CH008'!E$2:E$4994,D55))</f>
        <v>77</v>
      </c>
      <c r="G55" s="18">
        <f>IF(D55="","",SUMIFS('CH008'!G$2:G$4994,'CH008'!E$2:E$4994,D55))</f>
        <v>89.5</v>
      </c>
      <c r="H55" s="69">
        <f t="shared" si="0"/>
        <v>0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4.25" customHeight="1" x14ac:dyDescent="0.3">
      <c r="A56" s="18"/>
      <c r="B56" s="25" t="str">
        <f>IF('Base de donnée articles'!B58="","",'Base de donnée articles'!B58)</f>
        <v>Pate CHEESE CAKE</v>
      </c>
      <c r="C56" s="25" t="s">
        <v>20</v>
      </c>
      <c r="D56" s="25" t="str">
        <f>IF('Base de donnée articles'!C58="","",'Base de donnée articles'!C58)</f>
        <v>PA011</v>
      </c>
      <c r="E56" s="11">
        <v>1</v>
      </c>
      <c r="F56" s="18">
        <f>IF(B56="","",SUMIFS('CH008'!F$2:F$4994,'CH008'!E$2:E$4994,D56))</f>
        <v>26</v>
      </c>
      <c r="G56" s="18">
        <f>IF(D56="","",SUMIFS('CH008'!G$2:G$4994,'CH008'!E$2:E$4994,D56))</f>
        <v>26</v>
      </c>
      <c r="H56" s="69">
        <f t="shared" si="0"/>
        <v>1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4.25" customHeight="1" x14ac:dyDescent="0.3">
      <c r="A57" s="18"/>
      <c r="B57" s="25" t="str">
        <f>IF('Base de donnée articles'!B59="","",'Base de donnée articles'!B59)</f>
        <v>M&amp;M</v>
      </c>
      <c r="C57" s="25" t="s">
        <v>160</v>
      </c>
      <c r="D57" s="25" t="str">
        <f>IF('Base de donnée articles'!C59="","",'Base de donnée articles'!C59)</f>
        <v>CH003</v>
      </c>
      <c r="E57" s="11">
        <v>3</v>
      </c>
      <c r="F57" s="18">
        <f>IF(B57="","",SUMIFS('CH008'!F$2:F$4994,'CH008'!E$2:E$4994,D57))</f>
        <v>24</v>
      </c>
      <c r="G57" s="18">
        <f>IF(D57="","",SUMIFS('CH008'!G$2:G$4994,'CH008'!E$2:E$4994,D57))</f>
        <v>27</v>
      </c>
      <c r="H57" s="69">
        <f t="shared" si="0"/>
        <v>0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4.25" customHeight="1" x14ac:dyDescent="0.3">
      <c r="A58" s="18"/>
      <c r="B58" s="25" t="str">
        <f>IF('Base de donnée articles'!B60="","",'Base de donnée articles'!B60)</f>
        <v>CITRON</v>
      </c>
      <c r="C58" s="25" t="s">
        <v>113</v>
      </c>
      <c r="D58" s="25" t="str">
        <f>IF('Base de donnée articles'!C60="","",'Base de donnée articles'!C60)</f>
        <v>CIT</v>
      </c>
      <c r="E58" s="11">
        <v>3</v>
      </c>
      <c r="F58" s="18">
        <f>IF(B58="","",SUMIFS('CH008'!F$2:F$4994,'CH008'!E$2:E$4994,D58))</f>
        <v>14</v>
      </c>
      <c r="G58" s="18">
        <f>IF(D58="","",SUMIFS('CH008'!G$2:G$4994,'CH008'!E$2:E$4994,D58))</f>
        <v>15</v>
      </c>
      <c r="H58" s="69">
        <f t="shared" si="0"/>
        <v>2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4.25" customHeight="1" x14ac:dyDescent="0.3">
      <c r="A59" s="18"/>
      <c r="B59" s="25" t="str">
        <f>IF('Base de donnée articles'!B61="","",'Base de donnée articles'!B61)</f>
        <v>Créme Fraiche 22cl</v>
      </c>
      <c r="C59" s="25" t="s">
        <v>12</v>
      </c>
      <c r="D59" s="25" t="str">
        <f>IF('Base de donnée articles'!C61="","",'Base de donnée articles'!C61)</f>
        <v>CH073</v>
      </c>
      <c r="E59" s="11">
        <v>0</v>
      </c>
      <c r="F59" s="18">
        <f>IF(B59="","",SUMIFS('CH008'!F$2:F$4994,'CH008'!E$2:E$4994,D59))</f>
        <v>1249</v>
      </c>
      <c r="G59" s="18">
        <f>IF(D59="","",SUMIFS('CH008'!G$2:G$4994,'CH008'!E$2:E$4994,D59))</f>
        <v>1249</v>
      </c>
      <c r="H59" s="69">
        <f t="shared" si="0"/>
        <v>0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4.25" customHeight="1" x14ac:dyDescent="0.3">
      <c r="A60" s="18"/>
      <c r="B60" s="25" t="str">
        <f>IF('Base de donnée articles'!B62="","",'Base de donnée articles'!B62)</f>
        <v>KONEFA</v>
      </c>
      <c r="C60" s="25" t="s">
        <v>12</v>
      </c>
      <c r="D60" s="25" t="str">
        <f>IF('Base de donnée articles'!C62="","",'Base de donnée articles'!C62)</f>
        <v>KON</v>
      </c>
      <c r="E60" s="11">
        <v>0</v>
      </c>
      <c r="F60" s="18">
        <f>IF(B60="","",SUMIFS('CH008'!F$2:F$4994,'CH008'!E$2:E$4994,D60))</f>
        <v>58</v>
      </c>
      <c r="G60" s="18">
        <f>IF(D60="","",SUMIFS('CH008'!G$2:G$4994,'CH008'!E$2:E$4994,D60))</f>
        <v>58</v>
      </c>
      <c r="H60" s="69">
        <f t="shared" si="0"/>
        <v>0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4.25" customHeight="1" x14ac:dyDescent="0.3">
      <c r="A61" s="18"/>
      <c r="B61" s="25" t="str">
        <f>IF('Base de donnée articles'!B63="","",'Base de donnée articles'!B63)</f>
        <v>mokhito</v>
      </c>
      <c r="C61" s="25" t="s">
        <v>12</v>
      </c>
      <c r="D61" s="25" t="str">
        <f>IF('Base de donnée articles'!C63="","",'Base de donnée articles'!C63)</f>
        <v>MOK</v>
      </c>
      <c r="E61" s="11">
        <v>0</v>
      </c>
      <c r="F61" s="18">
        <f>IF(B61="","",SUMIFS('CH008'!F$2:F$4994,'CH008'!E$2:E$4994,D61))</f>
        <v>1</v>
      </c>
      <c r="G61" s="18">
        <f>IF(D61="","",SUMIFS('CH008'!G$2:G$4994,'CH008'!E$2:E$4994,D61))</f>
        <v>1</v>
      </c>
      <c r="H61" s="69">
        <f t="shared" si="0"/>
        <v>0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4.25" customHeight="1" x14ac:dyDescent="0.3">
      <c r="A62" s="18"/>
      <c r="B62" s="25" t="str">
        <f>IF('Base de donnée articles'!B64="","",'Base de donnée articles'!B64)</f>
        <v xml:space="preserve">Orange </v>
      </c>
      <c r="C62" s="25" t="s">
        <v>12</v>
      </c>
      <c r="D62" s="25" t="str">
        <f>IF('Base de donnée articles'!C64="","",'Base de donnée articles'!C64)</f>
        <v>ORG</v>
      </c>
      <c r="E62" s="11">
        <v>0</v>
      </c>
      <c r="F62" s="18">
        <f>IF(B62="","",SUMIFS('CH008'!F$2:F$4994,'CH008'!E$2:E$4994,D62))</f>
        <v>39</v>
      </c>
      <c r="G62" s="18">
        <f>IF(D62="","",SUMIFS('CH008'!G$2:G$4994,'CH008'!E$2:E$4994,D62))</f>
        <v>39</v>
      </c>
      <c r="H62" s="69">
        <f t="shared" si="0"/>
        <v>0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4.25" customHeight="1" x14ac:dyDescent="0.3">
      <c r="A63" s="18"/>
      <c r="B63" s="25" t="str">
        <f>IF('Base de donnée articles'!B65="","",'Base de donnée articles'!B65)</f>
        <v>ZITOUN</v>
      </c>
      <c r="C63" s="25" t="s">
        <v>12</v>
      </c>
      <c r="D63" s="25" t="str">
        <f>IF('Base de donnée articles'!C65="","",'Base de donnée articles'!C65)</f>
        <v>ZITOUN</v>
      </c>
      <c r="E63" s="11">
        <v>0</v>
      </c>
      <c r="F63" s="18">
        <f>IF(B63="","",SUMIFS('CH008'!F$2:F$4994,'CH008'!E$2:E$4994,D63))</f>
        <v>3</v>
      </c>
      <c r="G63" s="18">
        <f>IF(D63="","",SUMIFS('CH008'!G$2:G$4994,'CH008'!E$2:E$4994,D63))</f>
        <v>3</v>
      </c>
      <c r="H63" s="69">
        <f t="shared" si="0"/>
        <v>0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4.25" customHeight="1" x14ac:dyDescent="0.3">
      <c r="A64" s="18"/>
      <c r="B64" s="25" t="str">
        <f>IF('Base de donnée articles'!B66="","",'Base de donnée articles'!B66)</f>
        <v>Sachet Pobelle</v>
      </c>
      <c r="C64" s="25" t="s">
        <v>166</v>
      </c>
      <c r="D64" s="25" t="str">
        <f>IF('Base de donnée articles'!C66="","",'Base de donnée articles'!C66)</f>
        <v>NET004</v>
      </c>
      <c r="E64" s="57">
        <v>0</v>
      </c>
      <c r="F64" s="18">
        <f>IF(B64="","",SUMIFS('CH008'!F$2:F$4994,'CH008'!E$2:E$4994,D64))</f>
        <v>11</v>
      </c>
      <c r="G64" s="18">
        <f>IF(D64="","",SUMIFS('CH008'!G$2:G$4994,'CH008'!E$2:E$4994,D64))</f>
        <v>10</v>
      </c>
      <c r="H64" s="69">
        <f t="shared" ref="H64:H65" si="1">IF(D64="","",E64+F64-G64)</f>
        <v>1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4.25" customHeight="1" x14ac:dyDescent="0.3">
      <c r="A65" s="18"/>
      <c r="B65" s="25" t="str">
        <f>IF('Base de donnée articles'!B67="","",'Base de donnée articles'!B67)</f>
        <v>nuggets</v>
      </c>
      <c r="C65" s="25" t="s">
        <v>12</v>
      </c>
      <c r="D65" s="25" t="str">
        <f>IF('Base de donnée articles'!C67="","",'Base de donnée articles'!C67)</f>
        <v>NUG</v>
      </c>
      <c r="E65" s="57">
        <v>0</v>
      </c>
      <c r="F65" s="18">
        <f>IF(B65="","",SUMIFS('CH008'!F$2:F$4994,'CH008'!E$2:E$4994,D65))</f>
        <v>5</v>
      </c>
      <c r="G65" s="18">
        <f>IF(D65="","",SUMIFS('CH008'!G$2:G$4994,'CH008'!E$2:E$4994,D65))</f>
        <v>5</v>
      </c>
      <c r="H65" s="69">
        <f t="shared" si="1"/>
        <v>0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4.25" customHeight="1" x14ac:dyDescent="0.3">
      <c r="A66" s="18"/>
      <c r="B66" s="25" t="str">
        <f>IF('Base de donnée articles'!B68="","",'Base de donnée articles'!B68)</f>
        <v>Bounty</v>
      </c>
      <c r="C66" s="25" t="s">
        <v>12</v>
      </c>
      <c r="D66" s="25" t="str">
        <f>IF('Base de donnée articles'!C68="","",'Base de donnée articles'!C68)</f>
        <v>CH004</v>
      </c>
      <c r="E66" s="57">
        <v>0</v>
      </c>
      <c r="F66" s="18">
        <f>IF(B66="","",SUMIFS('CH008'!F$2:F$4994,'CH008'!E$2:E$4994,D66))</f>
        <v>46</v>
      </c>
      <c r="G66" s="18">
        <f>IF(D66="","",SUMIFS('CH008'!G$2:G$4994,'CH008'!E$2:E$4994,D66))</f>
        <v>46</v>
      </c>
      <c r="H66" s="69">
        <f>IF(D66="","",E66+F66-G66)</f>
        <v>0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4.25" customHeight="1" x14ac:dyDescent="0.3">
      <c r="A67" s="18"/>
      <c r="B67" s="25" t="str">
        <f>IF('Base de donnée articles'!B69="","",'Base de donnée articles'!B69)</f>
        <v>Sac Frite Tacos</v>
      </c>
      <c r="C67" s="25" t="s">
        <v>12</v>
      </c>
      <c r="D67" s="25" t="str">
        <f>IF('Base de donnée articles'!C69="","",'Base de donnée articles'!C69)</f>
        <v>EMB005</v>
      </c>
      <c r="E67" s="57">
        <v>0</v>
      </c>
      <c r="F67" s="18">
        <f>IF(B67="","",SUMIFS('CH008'!F$2:F$4994,'CH008'!E$2:E$4994,D67))</f>
        <v>5001</v>
      </c>
      <c r="G67" s="18">
        <f>IF(D67="","",SUMIFS('CH008'!G$2:G$4994,'CH008'!E$2:E$4994,D67))</f>
        <v>5000</v>
      </c>
      <c r="H67" s="69">
        <f t="shared" ref="H67" si="2">IF(D67="","",E67+F67-G67)</f>
        <v>1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4.25" customHeight="1" x14ac:dyDescent="0.3">
      <c r="A68" s="18"/>
      <c r="B68" s="25" t="str">
        <f>IF('Base de donnée articles'!B70="","",'Base de donnée articles'!B70)</f>
        <v>Fromage présédent</v>
      </c>
      <c r="C68" s="25" t="s">
        <v>20</v>
      </c>
      <c r="D68" s="25" t="str">
        <f>IF('Base de donnée articles'!C70="","",'Base de donnée articles'!C70)</f>
        <v>fro</v>
      </c>
      <c r="E68" s="57">
        <v>0</v>
      </c>
      <c r="F68" s="18">
        <f>IF(B68="","",SUMIFS('CH008'!F$2:F$4994,'CH008'!E$2:E$4994,D68))</f>
        <v>1.2</v>
      </c>
      <c r="G68" s="18">
        <f>IF(D68="","",SUMIFS('CH008'!G$2:G$4994,'CH008'!E$2:E$4994,D68))</f>
        <v>1.2</v>
      </c>
      <c r="H68" s="69">
        <f t="shared" ref="H68" si="3">IF(D68="","",E68+F68-G68)</f>
        <v>0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4.25" customHeight="1" x14ac:dyDescent="0.3">
      <c r="A69" s="18"/>
      <c r="B69" s="25" t="str">
        <f>IF('Base de donnée articles'!B71="","",'Base de donnée articles'!B71)</f>
        <v>LANDOR FROMAGE</v>
      </c>
      <c r="C69" s="25" t="s">
        <v>20</v>
      </c>
      <c r="D69" s="25" t="str">
        <f>IF('Base de donnée articles'!C71="","",'Base de donnée articles'!C71)</f>
        <v>LAN</v>
      </c>
      <c r="E69" s="57">
        <v>0</v>
      </c>
      <c r="F69" s="18">
        <f>IF(B69="","",SUMIFS('CH008'!F$2:F$4994,'CH008'!E$2:E$4994,D69))</f>
        <v>54.3</v>
      </c>
      <c r="G69" s="18">
        <f>IF(D69="","",SUMIFS('CH008'!G$2:G$4994,'CH008'!E$2:E$4994,D69))</f>
        <v>48.3</v>
      </c>
      <c r="H69" s="69">
        <f t="shared" ref="H69" si="4">IF(D69="","",E69+F69-G69)</f>
        <v>6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4.25" customHeight="1" x14ac:dyDescent="0.3">
      <c r="A70" s="18"/>
      <c r="B70" s="25" t="str">
        <f>IF('Base de donnée articles'!B72="","",'Base de donnée articles'!B72)</f>
        <v xml:space="preserve">Pate pistache </v>
      </c>
      <c r="C70" s="25" t="s">
        <v>20</v>
      </c>
      <c r="D70" s="25" t="str">
        <f>IF('Base de donnée articles'!C72="","",'Base de donnée articles'!C72)</f>
        <v>PAT008</v>
      </c>
      <c r="E70" s="57">
        <v>0</v>
      </c>
      <c r="F70" s="18">
        <f>IF(B70="","",SUMIFS('CH008'!F$2:F$4994,'CH008'!E$2:E$4994,D70))</f>
        <v>15</v>
      </c>
      <c r="G70" s="18">
        <f>IF(D70="","",SUMIFS('CH008'!G$2:G$4994,'CH008'!E$2:E$4994,D70))</f>
        <v>15</v>
      </c>
      <c r="H70" s="69">
        <f t="shared" ref="H70" si="5">IF(D70="","",E70+F70-G70)</f>
        <v>0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4.25" customHeight="1" x14ac:dyDescent="0.3">
      <c r="A71" s="18"/>
      <c r="B71" s="25" t="str">
        <f>IF('Base de donnée articles'!B73="","",'Base de donnée articles'!B73)</f>
        <v>FARINE</v>
      </c>
      <c r="C71" s="25" t="s">
        <v>20</v>
      </c>
      <c r="D71" s="25" t="str">
        <f>IF('Base de donnée articles'!C73="","",'Base de donnée articles'!C73)</f>
        <v>FAR</v>
      </c>
      <c r="E71" s="57">
        <v>0</v>
      </c>
      <c r="F71" s="18">
        <f>IF(B71="","",SUMIFS('CH008'!F$2:F$4994,'CH008'!E$2:E$4994,D71))</f>
        <v>50</v>
      </c>
      <c r="G71" s="18">
        <f>IF(D71="","",SUMIFS('CH008'!G$2:G$4994,'CH008'!E$2:E$4994,D71))</f>
        <v>50</v>
      </c>
      <c r="H71" s="69">
        <f t="shared" ref="H71" si="6">IF(D71="","",E71+F71-G71)</f>
        <v>0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4.25" customHeight="1" x14ac:dyDescent="0.3">
      <c r="A72" s="18"/>
      <c r="B72" s="25" t="str">
        <f>IF('Base de donnée articles'!B74="","",'Base de donnée articles'!B74)</f>
        <v>SEL</v>
      </c>
      <c r="C72" s="25" t="s">
        <v>20</v>
      </c>
      <c r="D72" s="25" t="str">
        <f>IF('Base de donnée articles'!C74="","",'Base de donnée articles'!C74)</f>
        <v>SEL</v>
      </c>
      <c r="E72" s="57">
        <v>0</v>
      </c>
      <c r="F72" s="18">
        <f>IF(B72="","",SUMIFS('CH008'!F$2:F$4994,'CH008'!E$2:E$4994,D72))</f>
        <v>12</v>
      </c>
      <c r="G72" s="18">
        <f>IF(D72="","",SUMIFS('CH008'!G$2:G$4994,'CH008'!E$2:E$4994,D72))</f>
        <v>6</v>
      </c>
      <c r="H72" s="69">
        <f t="shared" ref="H72:H73" si="7">IF(D72="","",E72+F72-G72)</f>
        <v>6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4.25" customHeight="1" x14ac:dyDescent="0.3">
      <c r="A73" s="18"/>
      <c r="B73" s="25" t="str">
        <f>IF('Base de donnée articles'!B75="","",'Base de donnée articles'!B75)</f>
        <v>viande haché</v>
      </c>
      <c r="C73" s="25" t="s">
        <v>20</v>
      </c>
      <c r="D73" s="25" t="str">
        <f>IF('Base de donnée articles'!C75="","",'Base de donnée articles'!C75)</f>
        <v>VD01</v>
      </c>
      <c r="E73" s="57">
        <v>0</v>
      </c>
      <c r="F73" s="18">
        <f>IF(B73="","",SUMIFS('CH008'!F$2:F$4994,'CH008'!E$2:E$4994,D73))</f>
        <v>5.96</v>
      </c>
      <c r="G73" s="18">
        <f>IF(D73="","",SUMIFS('CH008'!G$2:G$4994,'CH008'!E$2:E$4994,D73))</f>
        <v>5.96</v>
      </c>
      <c r="H73" s="69">
        <f t="shared" si="7"/>
        <v>0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4.25" customHeight="1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4.25" customHeight="1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4.25" customHeight="1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4.25" customHeight="1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4.25" customHeight="1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4.25" customHeight="1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4.25" customHeight="1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4.25" customHeight="1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4.25" customHeight="1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4.25" customHeight="1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4.25" customHeight="1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4.25" customHeight="1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4.25" customHeight="1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4.25" customHeight="1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4.25" customHeight="1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4.25" customHeight="1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4.25" customHeight="1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4.25" customHeight="1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4.25" customHeight="1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4.25" customHeight="1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4.25" customHeight="1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4.25" customHeight="1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4.25" customHeight="1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4.25" customHeight="1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4.25" customHeight="1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4.25" customHeight="1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4.25" customHeight="1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4.25" customHeight="1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4.25" customHeight="1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4.25" customHeight="1" x14ac:dyDescent="0.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4.25" customHeight="1" x14ac:dyDescent="0.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4.25" customHeight="1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4.25" customHeight="1" x14ac:dyDescent="0.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4.25" customHeight="1" x14ac:dyDescent="0.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4.25" customHeight="1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4.25" customHeight="1" x14ac:dyDescent="0.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4.25" customHeight="1" x14ac:dyDescent="0.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4.25" customHeight="1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4.25" customHeight="1" x14ac:dyDescent="0.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4.25" customHeight="1" x14ac:dyDescent="0.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4.25" customHeight="1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4.25" customHeight="1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4.25" customHeight="1" x14ac:dyDescent="0.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4.25" customHeight="1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4.25" customHeight="1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4.25" customHeight="1" x14ac:dyDescent="0.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4.25" customHeight="1" x14ac:dyDescent="0.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4.25" customHeight="1" x14ac:dyDescent="0.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4.25" customHeight="1" x14ac:dyDescent="0.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4.25" customHeight="1" x14ac:dyDescent="0.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4.25" customHeight="1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4.25" customHeight="1" x14ac:dyDescent="0.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4.25" customHeight="1" x14ac:dyDescent="0.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4.25" customHeight="1" x14ac:dyDescent="0.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4.25" customHeight="1" x14ac:dyDescent="0.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4.25" customHeight="1" x14ac:dyDescent="0.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4.25" customHeight="1" x14ac:dyDescent="0.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4.25" customHeight="1" x14ac:dyDescent="0.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4.25" customHeight="1" x14ac:dyDescent="0.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4.25" customHeight="1" x14ac:dyDescent="0.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4.25" customHeight="1" x14ac:dyDescent="0.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4.25" customHeight="1" x14ac:dyDescent="0.3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4.25" customHeight="1" x14ac:dyDescent="0.3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4.25" customHeight="1" x14ac:dyDescent="0.3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4.25" customHeight="1" x14ac:dyDescent="0.3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4.25" customHeight="1" x14ac:dyDescent="0.3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4.25" customHeight="1" x14ac:dyDescent="0.3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4.25" customHeight="1" x14ac:dyDescent="0.3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4.25" customHeight="1" x14ac:dyDescent="0.3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4.25" customHeight="1" x14ac:dyDescent="0.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4.25" customHeight="1" x14ac:dyDescent="0.3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4.25" customHeight="1" x14ac:dyDescent="0.3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4.25" customHeight="1" x14ac:dyDescent="0.3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4.25" customHeight="1" x14ac:dyDescent="0.3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4.25" customHeight="1" x14ac:dyDescent="0.3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4.25" customHeight="1" x14ac:dyDescent="0.3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4.25" customHeight="1" x14ac:dyDescent="0.3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4.25" customHeight="1" x14ac:dyDescent="0.3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4.25" customHeight="1" x14ac:dyDescent="0.3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4.25" customHeight="1" x14ac:dyDescent="0.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4.25" customHeight="1" x14ac:dyDescent="0.3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4.25" customHeight="1" x14ac:dyDescent="0.3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4.25" customHeight="1" x14ac:dyDescent="0.3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4.25" customHeight="1" x14ac:dyDescent="0.3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4.25" customHeight="1" x14ac:dyDescent="0.3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4.25" customHeight="1" x14ac:dyDescent="0.3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4.25" customHeight="1" x14ac:dyDescent="0.3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4.25" customHeight="1" x14ac:dyDescent="0.3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4.25" customHeight="1" x14ac:dyDescent="0.3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4.25" customHeight="1" x14ac:dyDescent="0.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4.25" customHeight="1" x14ac:dyDescent="0.3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4.25" customHeight="1" x14ac:dyDescent="0.3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4.25" customHeight="1" x14ac:dyDescent="0.3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4.25" customHeight="1" x14ac:dyDescent="0.3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4.25" customHeight="1" x14ac:dyDescent="0.3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4.25" customHeight="1" x14ac:dyDescent="0.3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4.25" customHeight="1" x14ac:dyDescent="0.3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4.25" customHeight="1" x14ac:dyDescent="0.3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4.25" customHeight="1" x14ac:dyDescent="0.3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4.25" customHeight="1" x14ac:dyDescent="0.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4.25" customHeight="1" x14ac:dyDescent="0.3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4.25" customHeight="1" x14ac:dyDescent="0.3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4.25" customHeight="1" x14ac:dyDescent="0.3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4.25" customHeight="1" x14ac:dyDescent="0.3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4.25" customHeight="1" x14ac:dyDescent="0.3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4.25" customHeight="1" x14ac:dyDescent="0.3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4.25" customHeight="1" x14ac:dyDescent="0.3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4.25" customHeight="1" x14ac:dyDescent="0.3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4.25" customHeight="1" x14ac:dyDescent="0.3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4.25" customHeight="1" x14ac:dyDescent="0.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4.25" customHeight="1" x14ac:dyDescent="0.3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4.25" customHeight="1" x14ac:dyDescent="0.3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4.25" customHeight="1" x14ac:dyDescent="0.3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4.25" customHeight="1" x14ac:dyDescent="0.3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4.25" customHeight="1" x14ac:dyDescent="0.3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4.25" customHeight="1" x14ac:dyDescent="0.3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4.25" customHeight="1" x14ac:dyDescent="0.3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4.25" customHeight="1" x14ac:dyDescent="0.3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4.25" customHeight="1" x14ac:dyDescent="0.3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4.25" customHeight="1" x14ac:dyDescent="0.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4.25" customHeight="1" x14ac:dyDescent="0.3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4.25" customHeight="1" x14ac:dyDescent="0.3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4.25" customHeight="1" x14ac:dyDescent="0.3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4.25" customHeight="1" x14ac:dyDescent="0.3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4.25" customHeight="1" x14ac:dyDescent="0.3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4.25" customHeight="1" x14ac:dyDescent="0.3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4.25" customHeight="1" x14ac:dyDescent="0.3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4.25" customHeight="1" x14ac:dyDescent="0.3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4.25" customHeight="1" x14ac:dyDescent="0.3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4.25" customHeight="1" x14ac:dyDescent="0.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4.25" customHeight="1" x14ac:dyDescent="0.3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4.25" customHeight="1" x14ac:dyDescent="0.3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4.25" customHeight="1" x14ac:dyDescent="0.3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4.25" customHeight="1" x14ac:dyDescent="0.3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4.25" customHeight="1" x14ac:dyDescent="0.3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4.25" customHeight="1" x14ac:dyDescent="0.3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4.25" customHeight="1" x14ac:dyDescent="0.3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4.25" customHeight="1" x14ac:dyDescent="0.3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4.25" customHeight="1" x14ac:dyDescent="0.3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4.25" customHeight="1" x14ac:dyDescent="0.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4.25" customHeight="1" x14ac:dyDescent="0.3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4.25" customHeight="1" x14ac:dyDescent="0.3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4.25" customHeight="1" x14ac:dyDescent="0.3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4.25" customHeight="1" x14ac:dyDescent="0.3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4.25" customHeight="1" x14ac:dyDescent="0.3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4.25" customHeight="1" x14ac:dyDescent="0.3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4.25" customHeight="1" x14ac:dyDescent="0.3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4.25" customHeight="1" x14ac:dyDescent="0.3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4.25" customHeight="1" x14ac:dyDescent="0.3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4.25" customHeight="1" x14ac:dyDescent="0.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4.25" customHeight="1" x14ac:dyDescent="0.3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4.25" customHeight="1" x14ac:dyDescent="0.3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4.25" customHeight="1" x14ac:dyDescent="0.3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4.25" customHeight="1" x14ac:dyDescent="0.3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4.25" customHeight="1" x14ac:dyDescent="0.3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4.25" customHeight="1" x14ac:dyDescent="0.3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4.25" customHeight="1" x14ac:dyDescent="0.3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4.25" customHeight="1" x14ac:dyDescent="0.3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4.25" customHeight="1" x14ac:dyDescent="0.3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4.25" customHeight="1" x14ac:dyDescent="0.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4.25" customHeight="1" x14ac:dyDescent="0.3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4.25" customHeight="1" x14ac:dyDescent="0.3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4.25" customHeight="1" x14ac:dyDescent="0.3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4.25" customHeight="1" x14ac:dyDescent="0.3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4.25" customHeight="1" x14ac:dyDescent="0.3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4.25" customHeight="1" x14ac:dyDescent="0.3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4.25" customHeight="1" x14ac:dyDescent="0.3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4.25" customHeight="1" x14ac:dyDescent="0.3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4.25" customHeight="1" x14ac:dyDescent="0.3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4.25" customHeight="1" x14ac:dyDescent="0.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4.25" customHeight="1" x14ac:dyDescent="0.3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4.25" customHeight="1" x14ac:dyDescent="0.3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4.25" customHeight="1" x14ac:dyDescent="0.3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4.25" customHeight="1" x14ac:dyDescent="0.3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4.25" customHeight="1" x14ac:dyDescent="0.3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4.25" customHeight="1" x14ac:dyDescent="0.3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4.25" customHeight="1" x14ac:dyDescent="0.3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4.25" customHeight="1" x14ac:dyDescent="0.3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4.25" customHeight="1" x14ac:dyDescent="0.3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4.25" customHeight="1" x14ac:dyDescent="0.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4.25" customHeight="1" x14ac:dyDescent="0.3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4.25" customHeight="1" x14ac:dyDescent="0.3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4.25" customHeight="1" x14ac:dyDescent="0.3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4.25" customHeight="1" x14ac:dyDescent="0.3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4.25" customHeight="1" x14ac:dyDescent="0.3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4.25" customHeight="1" x14ac:dyDescent="0.3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4.25" customHeight="1" x14ac:dyDescent="0.3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4.25" customHeight="1" x14ac:dyDescent="0.3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4.25" customHeight="1" x14ac:dyDescent="0.3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4.25" customHeight="1" x14ac:dyDescent="0.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4.25" customHeight="1" x14ac:dyDescent="0.3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4.25" customHeight="1" x14ac:dyDescent="0.3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4.25" customHeight="1" x14ac:dyDescent="0.3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4.25" customHeight="1" x14ac:dyDescent="0.3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4.25" customHeight="1" x14ac:dyDescent="0.3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4.25" customHeight="1" x14ac:dyDescent="0.3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4.25" customHeight="1" x14ac:dyDescent="0.3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4.25" customHeight="1" x14ac:dyDescent="0.3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4.25" customHeight="1" x14ac:dyDescent="0.3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4.25" customHeight="1" x14ac:dyDescent="0.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4.25" customHeight="1" x14ac:dyDescent="0.3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4.25" customHeight="1" x14ac:dyDescent="0.3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4.25" customHeight="1" x14ac:dyDescent="0.3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4.25" customHeight="1" x14ac:dyDescent="0.3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4.25" customHeight="1" x14ac:dyDescent="0.3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4.25" customHeight="1" x14ac:dyDescent="0.3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4.25" customHeight="1" x14ac:dyDescent="0.3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4.25" customHeight="1" x14ac:dyDescent="0.3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4.25" customHeight="1" x14ac:dyDescent="0.3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4.25" customHeight="1" x14ac:dyDescent="0.3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4.25" customHeight="1" x14ac:dyDescent="0.3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4.25" customHeight="1" x14ac:dyDescent="0.3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4.25" customHeight="1" x14ac:dyDescent="0.3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4.25" customHeight="1" x14ac:dyDescent="0.3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4.25" customHeight="1" x14ac:dyDescent="0.3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4.25" customHeight="1" x14ac:dyDescent="0.3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4.25" customHeight="1" x14ac:dyDescent="0.3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4.25" customHeight="1" x14ac:dyDescent="0.3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4.25" customHeight="1" x14ac:dyDescent="0.3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4.25" customHeight="1" x14ac:dyDescent="0.3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4.25" customHeight="1" x14ac:dyDescent="0.3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4.25" customHeight="1" x14ac:dyDescent="0.3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4.25" customHeight="1" x14ac:dyDescent="0.3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4.25" customHeight="1" x14ac:dyDescent="0.3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4.25" customHeight="1" x14ac:dyDescent="0.3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4.25" customHeight="1" x14ac:dyDescent="0.3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4.25" customHeight="1" x14ac:dyDescent="0.3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4.25" customHeight="1" x14ac:dyDescent="0.3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4.25" customHeight="1" x14ac:dyDescent="0.3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4.25" customHeight="1" x14ac:dyDescent="0.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4.25" customHeight="1" x14ac:dyDescent="0.3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4.25" customHeight="1" x14ac:dyDescent="0.3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4.25" customHeight="1" x14ac:dyDescent="0.3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4.25" customHeight="1" x14ac:dyDescent="0.3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4.25" customHeight="1" x14ac:dyDescent="0.3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4.25" customHeight="1" x14ac:dyDescent="0.3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4.25" customHeight="1" x14ac:dyDescent="0.3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4.25" customHeight="1" x14ac:dyDescent="0.3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4.25" customHeight="1" x14ac:dyDescent="0.3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4.25" customHeight="1" x14ac:dyDescent="0.3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4.25" customHeight="1" x14ac:dyDescent="0.3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4.25" customHeight="1" x14ac:dyDescent="0.3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4.25" customHeight="1" x14ac:dyDescent="0.3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4.25" customHeight="1" x14ac:dyDescent="0.3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4.25" customHeight="1" x14ac:dyDescent="0.3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4.25" customHeight="1" x14ac:dyDescent="0.3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4.25" customHeight="1" x14ac:dyDescent="0.3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4.25" customHeight="1" x14ac:dyDescent="0.3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4.25" customHeight="1" x14ac:dyDescent="0.3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4.25" customHeight="1" x14ac:dyDescent="0.3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4.25" customHeight="1" x14ac:dyDescent="0.3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4.25" customHeight="1" x14ac:dyDescent="0.3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4.25" customHeight="1" x14ac:dyDescent="0.3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4.25" customHeight="1" x14ac:dyDescent="0.3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4.25" customHeight="1" x14ac:dyDescent="0.3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4.25" customHeight="1" x14ac:dyDescent="0.3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4.25" customHeight="1" x14ac:dyDescent="0.3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4.25" customHeight="1" x14ac:dyDescent="0.3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4.25" customHeight="1" x14ac:dyDescent="0.3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4.25" customHeight="1" x14ac:dyDescent="0.3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4.25" customHeight="1" x14ac:dyDescent="0.3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4.25" customHeight="1" x14ac:dyDescent="0.3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4.25" customHeight="1" x14ac:dyDescent="0.3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4.25" customHeight="1" x14ac:dyDescent="0.3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4.25" customHeight="1" x14ac:dyDescent="0.3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4.25" customHeight="1" x14ac:dyDescent="0.3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4.25" customHeight="1" x14ac:dyDescent="0.3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4.25" customHeight="1" x14ac:dyDescent="0.3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4.25" customHeight="1" x14ac:dyDescent="0.3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4.25" customHeight="1" x14ac:dyDescent="0.3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4.25" customHeight="1" x14ac:dyDescent="0.3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4.25" customHeight="1" x14ac:dyDescent="0.3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4.25" customHeight="1" x14ac:dyDescent="0.3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4.25" customHeight="1" x14ac:dyDescent="0.3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4.25" customHeight="1" x14ac:dyDescent="0.3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4.25" customHeight="1" x14ac:dyDescent="0.3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4.25" customHeight="1" x14ac:dyDescent="0.3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4.25" customHeight="1" x14ac:dyDescent="0.3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4.25" customHeight="1" x14ac:dyDescent="0.3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4.25" customHeight="1" x14ac:dyDescent="0.3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4.25" customHeight="1" x14ac:dyDescent="0.3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4.25" customHeight="1" x14ac:dyDescent="0.3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4.25" customHeight="1" x14ac:dyDescent="0.3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4.25" customHeight="1" x14ac:dyDescent="0.3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4.25" customHeight="1" x14ac:dyDescent="0.3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4.25" customHeight="1" x14ac:dyDescent="0.3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4.25" customHeight="1" x14ac:dyDescent="0.3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4.25" customHeight="1" x14ac:dyDescent="0.3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4.25" customHeight="1" x14ac:dyDescent="0.3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4.25" customHeight="1" x14ac:dyDescent="0.3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4.25" customHeight="1" x14ac:dyDescent="0.3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4.25" customHeight="1" x14ac:dyDescent="0.3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4.25" customHeight="1" x14ac:dyDescent="0.3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4.25" customHeight="1" x14ac:dyDescent="0.3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4.25" customHeight="1" x14ac:dyDescent="0.3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4.25" customHeight="1" x14ac:dyDescent="0.3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4.25" customHeight="1" x14ac:dyDescent="0.3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4.25" customHeight="1" x14ac:dyDescent="0.3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4.25" customHeight="1" x14ac:dyDescent="0.3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4.25" customHeight="1" x14ac:dyDescent="0.3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4.25" customHeight="1" x14ac:dyDescent="0.3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4.25" customHeight="1" x14ac:dyDescent="0.3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4.25" customHeight="1" x14ac:dyDescent="0.3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4.25" customHeight="1" x14ac:dyDescent="0.3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4.25" customHeight="1" x14ac:dyDescent="0.3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4.25" customHeight="1" x14ac:dyDescent="0.3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4.25" customHeight="1" x14ac:dyDescent="0.3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4.25" customHeight="1" x14ac:dyDescent="0.3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4.25" customHeight="1" x14ac:dyDescent="0.3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4.25" customHeight="1" x14ac:dyDescent="0.3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4.25" customHeight="1" x14ac:dyDescent="0.3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4.25" customHeight="1" x14ac:dyDescent="0.3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4.25" customHeight="1" x14ac:dyDescent="0.3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4.25" customHeight="1" x14ac:dyDescent="0.3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4.25" customHeight="1" x14ac:dyDescent="0.3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4.25" customHeight="1" x14ac:dyDescent="0.3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4.25" customHeight="1" x14ac:dyDescent="0.3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4.25" customHeight="1" x14ac:dyDescent="0.3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4.25" customHeight="1" x14ac:dyDescent="0.3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4.25" customHeight="1" x14ac:dyDescent="0.3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4.25" customHeight="1" x14ac:dyDescent="0.3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4.25" customHeight="1" x14ac:dyDescent="0.3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4.25" customHeight="1" x14ac:dyDescent="0.3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4.25" customHeight="1" x14ac:dyDescent="0.3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4.25" customHeight="1" x14ac:dyDescent="0.3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4.25" customHeight="1" x14ac:dyDescent="0.3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4.25" customHeight="1" x14ac:dyDescent="0.3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4.25" customHeight="1" x14ac:dyDescent="0.3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4.25" customHeight="1" x14ac:dyDescent="0.3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4.25" customHeight="1" x14ac:dyDescent="0.3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4.25" customHeight="1" x14ac:dyDescent="0.3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4.25" customHeight="1" x14ac:dyDescent="0.3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4.25" customHeight="1" x14ac:dyDescent="0.3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4.25" customHeight="1" x14ac:dyDescent="0.3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4.25" customHeight="1" x14ac:dyDescent="0.3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4.25" customHeight="1" x14ac:dyDescent="0.3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4.25" customHeight="1" x14ac:dyDescent="0.3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4.25" customHeight="1" x14ac:dyDescent="0.3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4.25" customHeight="1" x14ac:dyDescent="0.3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4.25" customHeight="1" x14ac:dyDescent="0.3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4.25" customHeight="1" x14ac:dyDescent="0.3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4.25" customHeight="1" x14ac:dyDescent="0.3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4.25" customHeight="1" x14ac:dyDescent="0.3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4.25" customHeight="1" x14ac:dyDescent="0.3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4.25" customHeight="1" x14ac:dyDescent="0.3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4.25" customHeight="1" x14ac:dyDescent="0.3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4.25" customHeight="1" x14ac:dyDescent="0.3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4.25" customHeight="1" x14ac:dyDescent="0.3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4.25" customHeight="1" x14ac:dyDescent="0.3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4.25" customHeight="1" x14ac:dyDescent="0.3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4.25" customHeight="1" x14ac:dyDescent="0.3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4.25" customHeight="1" x14ac:dyDescent="0.3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4.25" customHeight="1" x14ac:dyDescent="0.3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4.25" customHeight="1" x14ac:dyDescent="0.3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4.25" customHeight="1" x14ac:dyDescent="0.3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4.25" customHeight="1" x14ac:dyDescent="0.3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4.25" customHeight="1" x14ac:dyDescent="0.3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4.25" customHeight="1" x14ac:dyDescent="0.3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4.25" customHeight="1" x14ac:dyDescent="0.3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4.25" customHeight="1" x14ac:dyDescent="0.3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4.25" customHeight="1" x14ac:dyDescent="0.3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4.25" customHeight="1" x14ac:dyDescent="0.3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4.25" customHeight="1" x14ac:dyDescent="0.3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4.25" customHeight="1" x14ac:dyDescent="0.3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4.25" customHeight="1" x14ac:dyDescent="0.3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4.25" customHeight="1" x14ac:dyDescent="0.3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4.25" customHeight="1" x14ac:dyDescent="0.3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4.25" customHeight="1" x14ac:dyDescent="0.3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4.25" customHeight="1" x14ac:dyDescent="0.3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4.25" customHeight="1" x14ac:dyDescent="0.3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4.25" customHeight="1" x14ac:dyDescent="0.3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4.25" customHeight="1" x14ac:dyDescent="0.3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4.25" customHeight="1" x14ac:dyDescent="0.3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4.25" customHeight="1" x14ac:dyDescent="0.3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4.25" customHeight="1" x14ac:dyDescent="0.3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4.25" customHeight="1" x14ac:dyDescent="0.3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4.25" customHeight="1" x14ac:dyDescent="0.3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4.25" customHeight="1" x14ac:dyDescent="0.3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4.25" customHeight="1" x14ac:dyDescent="0.3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4.25" customHeight="1" x14ac:dyDescent="0.3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4.25" customHeight="1" x14ac:dyDescent="0.3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4.25" customHeight="1" x14ac:dyDescent="0.3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4.25" customHeight="1" x14ac:dyDescent="0.3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4.25" customHeight="1" x14ac:dyDescent="0.3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4.25" customHeight="1" x14ac:dyDescent="0.3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4.25" customHeight="1" x14ac:dyDescent="0.3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4.25" customHeight="1" x14ac:dyDescent="0.3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4.25" customHeight="1" x14ac:dyDescent="0.3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4.25" customHeight="1" x14ac:dyDescent="0.3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4.25" customHeight="1" x14ac:dyDescent="0.3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4.25" customHeight="1" x14ac:dyDescent="0.3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4.25" customHeight="1" x14ac:dyDescent="0.3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4.25" customHeight="1" x14ac:dyDescent="0.3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4.25" customHeight="1" x14ac:dyDescent="0.3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4.25" customHeight="1" x14ac:dyDescent="0.3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4.25" customHeight="1" x14ac:dyDescent="0.3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4.25" customHeight="1" x14ac:dyDescent="0.3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4.25" customHeight="1" x14ac:dyDescent="0.3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4.25" customHeight="1" x14ac:dyDescent="0.3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4.25" customHeight="1" x14ac:dyDescent="0.3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4.25" customHeight="1" x14ac:dyDescent="0.3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4.25" customHeight="1" x14ac:dyDescent="0.3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4.25" customHeight="1" x14ac:dyDescent="0.3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4.25" customHeight="1" x14ac:dyDescent="0.3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4.25" customHeight="1" x14ac:dyDescent="0.3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4.25" customHeight="1" x14ac:dyDescent="0.3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4.25" customHeight="1" x14ac:dyDescent="0.3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4.25" customHeight="1" x14ac:dyDescent="0.3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4.25" customHeight="1" x14ac:dyDescent="0.3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4.25" customHeight="1" x14ac:dyDescent="0.3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4.25" customHeight="1" x14ac:dyDescent="0.3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4.25" customHeight="1" x14ac:dyDescent="0.3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4.25" customHeight="1" x14ac:dyDescent="0.3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4.25" customHeight="1" x14ac:dyDescent="0.3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4.25" customHeight="1" x14ac:dyDescent="0.3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4.25" customHeight="1" x14ac:dyDescent="0.3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4.25" customHeight="1" x14ac:dyDescent="0.3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4.25" customHeight="1" x14ac:dyDescent="0.3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4.25" customHeight="1" x14ac:dyDescent="0.3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4.25" customHeight="1" x14ac:dyDescent="0.3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4.25" customHeight="1" x14ac:dyDescent="0.3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4.25" customHeight="1" x14ac:dyDescent="0.3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4.25" customHeight="1" x14ac:dyDescent="0.3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4.25" customHeight="1" x14ac:dyDescent="0.3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4.25" customHeight="1" x14ac:dyDescent="0.3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4.25" customHeight="1" x14ac:dyDescent="0.3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4.25" customHeight="1" x14ac:dyDescent="0.3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4.25" customHeight="1" x14ac:dyDescent="0.3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4.25" customHeight="1" x14ac:dyDescent="0.3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4.25" customHeight="1" x14ac:dyDescent="0.3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4.25" customHeight="1" x14ac:dyDescent="0.3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4.25" customHeight="1" x14ac:dyDescent="0.3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4.25" customHeight="1" x14ac:dyDescent="0.3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4.25" customHeight="1" x14ac:dyDescent="0.3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4.25" customHeight="1" x14ac:dyDescent="0.3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4.25" customHeight="1" x14ac:dyDescent="0.3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4.25" customHeight="1" x14ac:dyDescent="0.3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4.25" customHeight="1" x14ac:dyDescent="0.3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4.25" customHeight="1" x14ac:dyDescent="0.3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4.25" customHeight="1" x14ac:dyDescent="0.3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4.25" customHeight="1" x14ac:dyDescent="0.3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4.25" customHeight="1" x14ac:dyDescent="0.3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4.25" customHeight="1" x14ac:dyDescent="0.3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4.25" customHeight="1" x14ac:dyDescent="0.3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4.25" customHeight="1" x14ac:dyDescent="0.3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4.25" customHeight="1" x14ac:dyDescent="0.3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4.25" customHeight="1" x14ac:dyDescent="0.3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4.25" customHeight="1" x14ac:dyDescent="0.3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4.25" customHeight="1" x14ac:dyDescent="0.3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4.25" customHeight="1" x14ac:dyDescent="0.3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4.25" customHeight="1" x14ac:dyDescent="0.3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4.25" customHeight="1" x14ac:dyDescent="0.3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4.25" customHeight="1" x14ac:dyDescent="0.3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4.25" customHeight="1" x14ac:dyDescent="0.3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4.25" customHeight="1" x14ac:dyDescent="0.3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4.25" customHeight="1" x14ac:dyDescent="0.3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4.25" customHeight="1" x14ac:dyDescent="0.3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4.25" customHeight="1" x14ac:dyDescent="0.3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4.25" customHeight="1" x14ac:dyDescent="0.3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4.25" customHeight="1" x14ac:dyDescent="0.3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4.25" customHeight="1" x14ac:dyDescent="0.3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4.25" customHeight="1" x14ac:dyDescent="0.3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4.25" customHeight="1" x14ac:dyDescent="0.3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4.25" customHeight="1" x14ac:dyDescent="0.3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4.25" customHeight="1" x14ac:dyDescent="0.3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4.25" customHeight="1" x14ac:dyDescent="0.3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4.25" customHeight="1" x14ac:dyDescent="0.3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4.25" customHeight="1" x14ac:dyDescent="0.3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4.25" customHeight="1" x14ac:dyDescent="0.3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4.25" customHeight="1" x14ac:dyDescent="0.3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4.25" customHeight="1" x14ac:dyDescent="0.3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4.25" customHeight="1" x14ac:dyDescent="0.3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4.25" customHeight="1" x14ac:dyDescent="0.3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4.25" customHeight="1" x14ac:dyDescent="0.3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4.25" customHeight="1" x14ac:dyDescent="0.3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4.25" customHeight="1" x14ac:dyDescent="0.3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4.25" customHeight="1" x14ac:dyDescent="0.3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4.25" customHeight="1" x14ac:dyDescent="0.3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4.25" customHeight="1" x14ac:dyDescent="0.3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4.25" customHeight="1" x14ac:dyDescent="0.3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4.25" customHeight="1" x14ac:dyDescent="0.3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4.25" customHeight="1" x14ac:dyDescent="0.3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4.25" customHeight="1" x14ac:dyDescent="0.3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4.25" customHeight="1" x14ac:dyDescent="0.3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4.25" customHeight="1" x14ac:dyDescent="0.3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4.25" customHeight="1" x14ac:dyDescent="0.3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4.25" customHeight="1" x14ac:dyDescent="0.3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4.25" customHeight="1" x14ac:dyDescent="0.3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4.25" customHeight="1" x14ac:dyDescent="0.3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4.25" customHeight="1" x14ac:dyDescent="0.3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4.25" customHeight="1" x14ac:dyDescent="0.3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4.25" customHeight="1" x14ac:dyDescent="0.3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4.25" customHeight="1" x14ac:dyDescent="0.3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4.25" customHeight="1" x14ac:dyDescent="0.3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4.25" customHeight="1" x14ac:dyDescent="0.3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4.25" customHeight="1" x14ac:dyDescent="0.3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4.25" customHeight="1" x14ac:dyDescent="0.3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4.25" customHeight="1" x14ac:dyDescent="0.3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4.25" customHeight="1" x14ac:dyDescent="0.3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4.25" customHeight="1" x14ac:dyDescent="0.3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4.25" customHeight="1" x14ac:dyDescent="0.3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4.25" customHeight="1" x14ac:dyDescent="0.3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4.25" customHeight="1" x14ac:dyDescent="0.3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4.25" customHeight="1" x14ac:dyDescent="0.3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4.25" customHeight="1" x14ac:dyDescent="0.3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4.25" customHeight="1" x14ac:dyDescent="0.3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4.25" customHeight="1" x14ac:dyDescent="0.3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4.25" customHeight="1" x14ac:dyDescent="0.3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4.25" customHeight="1" x14ac:dyDescent="0.3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4.25" customHeight="1" x14ac:dyDescent="0.3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4.25" customHeight="1" x14ac:dyDescent="0.3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4.25" customHeight="1" x14ac:dyDescent="0.3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4.25" customHeight="1" x14ac:dyDescent="0.3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4.25" customHeight="1" x14ac:dyDescent="0.3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4.25" customHeight="1" x14ac:dyDescent="0.3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4.25" customHeight="1" x14ac:dyDescent="0.3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4.25" customHeight="1" x14ac:dyDescent="0.3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4.25" customHeight="1" x14ac:dyDescent="0.3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4.25" customHeight="1" x14ac:dyDescent="0.3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4.25" customHeight="1" x14ac:dyDescent="0.3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4.25" customHeight="1" x14ac:dyDescent="0.3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4.25" customHeight="1" x14ac:dyDescent="0.3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4.25" customHeight="1" x14ac:dyDescent="0.3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4.25" customHeight="1" x14ac:dyDescent="0.3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4.25" customHeight="1" x14ac:dyDescent="0.3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4.25" customHeight="1" x14ac:dyDescent="0.3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4.25" customHeight="1" x14ac:dyDescent="0.3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4.25" customHeight="1" x14ac:dyDescent="0.3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4.25" customHeight="1" x14ac:dyDescent="0.3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4.25" customHeight="1" x14ac:dyDescent="0.3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4.25" customHeight="1" x14ac:dyDescent="0.3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4.25" customHeight="1" x14ac:dyDescent="0.3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4.25" customHeight="1" x14ac:dyDescent="0.3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4.25" customHeight="1" x14ac:dyDescent="0.3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4.25" customHeight="1" x14ac:dyDescent="0.3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4.25" customHeight="1" x14ac:dyDescent="0.3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4.25" customHeight="1" x14ac:dyDescent="0.3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4.25" customHeight="1" x14ac:dyDescent="0.3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4.25" customHeight="1" x14ac:dyDescent="0.3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4.25" customHeight="1" x14ac:dyDescent="0.3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4.25" customHeight="1" x14ac:dyDescent="0.3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4.25" customHeight="1" x14ac:dyDescent="0.3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4.25" customHeight="1" x14ac:dyDescent="0.3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4.25" customHeight="1" x14ac:dyDescent="0.3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4.25" customHeight="1" x14ac:dyDescent="0.3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4.25" customHeight="1" x14ac:dyDescent="0.3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4.25" customHeight="1" x14ac:dyDescent="0.3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4.25" customHeight="1" x14ac:dyDescent="0.3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4.25" customHeight="1" x14ac:dyDescent="0.3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4.25" customHeight="1" x14ac:dyDescent="0.3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4.25" customHeight="1" x14ac:dyDescent="0.3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4.25" customHeight="1" x14ac:dyDescent="0.3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4.25" customHeight="1" x14ac:dyDescent="0.3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4.25" customHeight="1" x14ac:dyDescent="0.3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4.25" customHeight="1" x14ac:dyDescent="0.3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4.25" customHeight="1" x14ac:dyDescent="0.3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4.25" customHeight="1" x14ac:dyDescent="0.3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4.25" customHeight="1" x14ac:dyDescent="0.3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4.25" customHeight="1" x14ac:dyDescent="0.3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4.25" customHeight="1" x14ac:dyDescent="0.3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4.25" customHeight="1" x14ac:dyDescent="0.3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4.25" customHeight="1" x14ac:dyDescent="0.3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4.25" customHeight="1" x14ac:dyDescent="0.3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4.25" customHeight="1" x14ac:dyDescent="0.3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4.25" customHeight="1" x14ac:dyDescent="0.3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4.25" customHeight="1" x14ac:dyDescent="0.3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4.25" customHeight="1" x14ac:dyDescent="0.3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4.25" customHeight="1" x14ac:dyDescent="0.3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4.25" customHeight="1" x14ac:dyDescent="0.3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4.25" customHeight="1" x14ac:dyDescent="0.3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4.25" customHeight="1" x14ac:dyDescent="0.3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4.25" customHeight="1" x14ac:dyDescent="0.3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4.25" customHeight="1" x14ac:dyDescent="0.3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4.25" customHeight="1" x14ac:dyDescent="0.3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4.25" customHeight="1" x14ac:dyDescent="0.3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4.25" customHeight="1" x14ac:dyDescent="0.3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4.25" customHeight="1" x14ac:dyDescent="0.3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4.25" customHeight="1" x14ac:dyDescent="0.3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4.25" customHeight="1" x14ac:dyDescent="0.3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4.25" customHeight="1" x14ac:dyDescent="0.3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4.25" customHeight="1" x14ac:dyDescent="0.3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4.25" customHeight="1" x14ac:dyDescent="0.3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4.25" customHeight="1" x14ac:dyDescent="0.3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4.25" customHeight="1" x14ac:dyDescent="0.3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4.25" customHeight="1" x14ac:dyDescent="0.3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4.25" customHeight="1" x14ac:dyDescent="0.3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4.25" customHeight="1" x14ac:dyDescent="0.3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4.25" customHeight="1" x14ac:dyDescent="0.3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4.25" customHeight="1" x14ac:dyDescent="0.3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4.25" customHeight="1" x14ac:dyDescent="0.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4.25" customHeight="1" x14ac:dyDescent="0.3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4.25" customHeight="1" x14ac:dyDescent="0.3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4.25" customHeight="1" x14ac:dyDescent="0.3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4.25" customHeight="1" x14ac:dyDescent="0.3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4.25" customHeight="1" x14ac:dyDescent="0.3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4.25" customHeight="1" x14ac:dyDescent="0.3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4.25" customHeight="1" x14ac:dyDescent="0.3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4.25" customHeight="1" x14ac:dyDescent="0.3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4.25" customHeight="1" x14ac:dyDescent="0.3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4.25" customHeight="1" x14ac:dyDescent="0.3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4.25" customHeight="1" x14ac:dyDescent="0.3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4.25" customHeight="1" x14ac:dyDescent="0.3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4.25" customHeight="1" x14ac:dyDescent="0.3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4.25" customHeight="1" x14ac:dyDescent="0.3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4.25" customHeight="1" x14ac:dyDescent="0.3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4.25" customHeight="1" x14ac:dyDescent="0.3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4.25" customHeight="1" x14ac:dyDescent="0.3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4.25" customHeight="1" x14ac:dyDescent="0.3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4.25" customHeight="1" x14ac:dyDescent="0.3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4.25" customHeight="1" x14ac:dyDescent="0.3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4.25" customHeight="1" x14ac:dyDescent="0.3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4.25" customHeight="1" x14ac:dyDescent="0.3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4.25" customHeight="1" x14ac:dyDescent="0.3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4.25" customHeight="1" x14ac:dyDescent="0.3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4.25" customHeight="1" x14ac:dyDescent="0.3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4.25" customHeight="1" x14ac:dyDescent="0.3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4.25" customHeight="1" x14ac:dyDescent="0.3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4.25" customHeight="1" x14ac:dyDescent="0.3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4.25" customHeight="1" x14ac:dyDescent="0.3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4.25" customHeight="1" x14ac:dyDescent="0.3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4.25" customHeight="1" x14ac:dyDescent="0.3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4.25" customHeight="1" x14ac:dyDescent="0.3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4.25" customHeight="1" x14ac:dyDescent="0.3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4.25" customHeight="1" x14ac:dyDescent="0.3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4.25" customHeight="1" x14ac:dyDescent="0.3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4.25" customHeight="1" x14ac:dyDescent="0.3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4.25" customHeight="1" x14ac:dyDescent="0.3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4.25" customHeight="1" x14ac:dyDescent="0.3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4.25" customHeight="1" x14ac:dyDescent="0.3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4.25" customHeight="1" x14ac:dyDescent="0.3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4.25" customHeight="1" x14ac:dyDescent="0.3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4.25" customHeight="1" x14ac:dyDescent="0.3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4.25" customHeight="1" x14ac:dyDescent="0.3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4.25" customHeight="1" x14ac:dyDescent="0.3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4.25" customHeight="1" x14ac:dyDescent="0.3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4.25" customHeight="1" x14ac:dyDescent="0.3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4.25" customHeight="1" x14ac:dyDescent="0.3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4.25" customHeight="1" x14ac:dyDescent="0.3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4.25" customHeight="1" x14ac:dyDescent="0.3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4.25" customHeight="1" x14ac:dyDescent="0.3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4.25" customHeight="1" x14ac:dyDescent="0.3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4.25" customHeight="1" x14ac:dyDescent="0.3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4.25" customHeight="1" x14ac:dyDescent="0.3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4.25" customHeight="1" x14ac:dyDescent="0.3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4.25" customHeight="1" x14ac:dyDescent="0.3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4.25" customHeight="1" x14ac:dyDescent="0.3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4.25" customHeight="1" x14ac:dyDescent="0.3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4.25" customHeight="1" x14ac:dyDescent="0.3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4.25" customHeight="1" x14ac:dyDescent="0.3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4.25" customHeight="1" x14ac:dyDescent="0.3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4.25" customHeight="1" x14ac:dyDescent="0.3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4.25" customHeight="1" x14ac:dyDescent="0.3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4.25" customHeight="1" x14ac:dyDescent="0.3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4.25" customHeight="1" x14ac:dyDescent="0.3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4.25" customHeight="1" x14ac:dyDescent="0.3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4.25" customHeight="1" x14ac:dyDescent="0.3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4.25" customHeight="1" x14ac:dyDescent="0.3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4.25" customHeight="1" x14ac:dyDescent="0.3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4.25" customHeight="1" x14ac:dyDescent="0.3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4.25" customHeight="1" x14ac:dyDescent="0.3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4.25" customHeight="1" x14ac:dyDescent="0.3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4.25" customHeight="1" x14ac:dyDescent="0.3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4.25" customHeight="1" x14ac:dyDescent="0.3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4.25" customHeight="1" x14ac:dyDescent="0.3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4.25" customHeight="1" x14ac:dyDescent="0.3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4.25" customHeight="1" x14ac:dyDescent="0.3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4.25" customHeight="1" x14ac:dyDescent="0.3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4.25" customHeight="1" x14ac:dyDescent="0.3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4.25" customHeight="1" x14ac:dyDescent="0.3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4.25" customHeight="1" x14ac:dyDescent="0.3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4.25" customHeight="1" x14ac:dyDescent="0.3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4.25" customHeight="1" x14ac:dyDescent="0.3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4.25" customHeight="1" x14ac:dyDescent="0.3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4.25" customHeight="1" x14ac:dyDescent="0.3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4.25" customHeight="1" x14ac:dyDescent="0.3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4.25" customHeight="1" x14ac:dyDescent="0.3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4.25" customHeight="1" x14ac:dyDescent="0.3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4.25" customHeight="1" x14ac:dyDescent="0.3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4.25" customHeight="1" x14ac:dyDescent="0.3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4.25" customHeight="1" x14ac:dyDescent="0.3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4.25" customHeight="1" x14ac:dyDescent="0.3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4.25" customHeight="1" x14ac:dyDescent="0.3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4.25" customHeight="1" x14ac:dyDescent="0.3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4.25" customHeight="1" x14ac:dyDescent="0.3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4.25" customHeight="1" x14ac:dyDescent="0.3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4.25" customHeight="1" x14ac:dyDescent="0.3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4.25" customHeight="1" x14ac:dyDescent="0.3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4.25" customHeight="1" x14ac:dyDescent="0.3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4.25" customHeight="1" x14ac:dyDescent="0.3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4.25" customHeight="1" x14ac:dyDescent="0.3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4.25" customHeight="1" x14ac:dyDescent="0.3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4.25" customHeight="1" x14ac:dyDescent="0.3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4.25" customHeight="1" x14ac:dyDescent="0.3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4.25" customHeight="1" x14ac:dyDescent="0.3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4.25" customHeight="1" x14ac:dyDescent="0.3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4.25" customHeight="1" x14ac:dyDescent="0.3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4.25" customHeight="1" x14ac:dyDescent="0.3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4.25" customHeight="1" x14ac:dyDescent="0.3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4.25" customHeight="1" x14ac:dyDescent="0.3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4.25" customHeight="1" x14ac:dyDescent="0.3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4.25" customHeight="1" x14ac:dyDescent="0.3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4.25" customHeight="1" x14ac:dyDescent="0.3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4.25" customHeight="1" x14ac:dyDescent="0.3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4.25" customHeight="1" x14ac:dyDescent="0.3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4.25" customHeight="1" x14ac:dyDescent="0.3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4.25" customHeight="1" x14ac:dyDescent="0.3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4.25" customHeight="1" x14ac:dyDescent="0.3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4.25" customHeight="1" x14ac:dyDescent="0.3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4.25" customHeight="1" x14ac:dyDescent="0.3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4.25" customHeight="1" x14ac:dyDescent="0.3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4.25" customHeight="1" x14ac:dyDescent="0.3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4.25" customHeight="1" x14ac:dyDescent="0.3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4.25" customHeight="1" x14ac:dyDescent="0.3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4.25" customHeight="1" x14ac:dyDescent="0.3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4.25" customHeight="1" x14ac:dyDescent="0.3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4.25" customHeight="1" x14ac:dyDescent="0.3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4.25" customHeight="1" x14ac:dyDescent="0.3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4.25" customHeight="1" x14ac:dyDescent="0.3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4.25" customHeight="1" x14ac:dyDescent="0.3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4.25" customHeight="1" x14ac:dyDescent="0.3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4.25" customHeight="1" x14ac:dyDescent="0.3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4.25" customHeight="1" x14ac:dyDescent="0.3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4.25" customHeight="1" x14ac:dyDescent="0.3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4.25" customHeight="1" x14ac:dyDescent="0.3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4.25" customHeight="1" x14ac:dyDescent="0.3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4.25" customHeight="1" x14ac:dyDescent="0.3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4.25" customHeight="1" x14ac:dyDescent="0.3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4.25" customHeight="1" x14ac:dyDescent="0.3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4.25" customHeight="1" x14ac:dyDescent="0.3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4.25" customHeight="1" x14ac:dyDescent="0.3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4.25" customHeight="1" x14ac:dyDescent="0.3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4.25" customHeight="1" x14ac:dyDescent="0.3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4.25" customHeight="1" x14ac:dyDescent="0.3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4.25" customHeight="1" x14ac:dyDescent="0.3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4.25" customHeight="1" x14ac:dyDescent="0.3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4.25" customHeight="1" x14ac:dyDescent="0.3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4.25" customHeight="1" x14ac:dyDescent="0.3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4.25" customHeight="1" x14ac:dyDescent="0.3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4.25" customHeight="1" x14ac:dyDescent="0.3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4.25" customHeight="1" x14ac:dyDescent="0.3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4.25" customHeight="1" x14ac:dyDescent="0.3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4.25" customHeight="1" x14ac:dyDescent="0.3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4.25" customHeight="1" x14ac:dyDescent="0.3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4.25" customHeight="1" x14ac:dyDescent="0.3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4.25" customHeight="1" x14ac:dyDescent="0.3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4.25" customHeight="1" x14ac:dyDescent="0.3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4.25" customHeight="1" x14ac:dyDescent="0.3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4.25" customHeight="1" x14ac:dyDescent="0.3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4.25" customHeight="1" x14ac:dyDescent="0.3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4.25" customHeight="1" x14ac:dyDescent="0.3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4.25" customHeight="1" x14ac:dyDescent="0.3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4.25" customHeight="1" x14ac:dyDescent="0.3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4.25" customHeight="1" x14ac:dyDescent="0.3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4.25" customHeight="1" x14ac:dyDescent="0.3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4.25" customHeight="1" x14ac:dyDescent="0.3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4.25" customHeight="1" x14ac:dyDescent="0.3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4.25" customHeight="1" x14ac:dyDescent="0.3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4.25" customHeight="1" x14ac:dyDescent="0.3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4.25" customHeight="1" x14ac:dyDescent="0.3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4.25" customHeight="1" x14ac:dyDescent="0.3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4.25" customHeight="1" x14ac:dyDescent="0.3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4.25" customHeight="1" x14ac:dyDescent="0.3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4.25" customHeight="1" x14ac:dyDescent="0.3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4.25" customHeight="1" x14ac:dyDescent="0.3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4.25" customHeight="1" x14ac:dyDescent="0.3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4.25" customHeight="1" x14ac:dyDescent="0.3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4.25" customHeight="1" x14ac:dyDescent="0.3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4.25" customHeight="1" x14ac:dyDescent="0.3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4.25" customHeight="1" x14ac:dyDescent="0.3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4.25" customHeight="1" x14ac:dyDescent="0.3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4.25" customHeight="1" x14ac:dyDescent="0.3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4.25" customHeight="1" x14ac:dyDescent="0.3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4.25" customHeight="1" x14ac:dyDescent="0.3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4.25" customHeight="1" x14ac:dyDescent="0.3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4.25" customHeight="1" x14ac:dyDescent="0.3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4.25" customHeight="1" x14ac:dyDescent="0.3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4.25" customHeight="1" x14ac:dyDescent="0.3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4.25" customHeight="1" x14ac:dyDescent="0.3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4.25" customHeight="1" x14ac:dyDescent="0.3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4.25" customHeight="1" x14ac:dyDescent="0.3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4.25" customHeight="1" x14ac:dyDescent="0.3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4.25" customHeight="1" x14ac:dyDescent="0.3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4.25" customHeight="1" x14ac:dyDescent="0.3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4.25" customHeight="1" x14ac:dyDescent="0.3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4.25" customHeight="1" x14ac:dyDescent="0.3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4.25" customHeight="1" x14ac:dyDescent="0.3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4.25" customHeight="1" x14ac:dyDescent="0.3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4.25" customHeight="1" x14ac:dyDescent="0.3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4.25" customHeight="1" x14ac:dyDescent="0.3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4.25" customHeight="1" x14ac:dyDescent="0.3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4.25" customHeight="1" x14ac:dyDescent="0.3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4.25" customHeight="1" x14ac:dyDescent="0.3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4.25" customHeight="1" x14ac:dyDescent="0.3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4.25" customHeight="1" x14ac:dyDescent="0.3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4.25" customHeight="1" x14ac:dyDescent="0.3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4.25" customHeight="1" x14ac:dyDescent="0.3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4.25" customHeight="1" x14ac:dyDescent="0.3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4.25" customHeight="1" x14ac:dyDescent="0.3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4.25" customHeight="1" x14ac:dyDescent="0.3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4.25" customHeight="1" x14ac:dyDescent="0.3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4.25" customHeight="1" x14ac:dyDescent="0.3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4.25" customHeight="1" x14ac:dyDescent="0.3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4.25" customHeight="1" x14ac:dyDescent="0.3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4.25" customHeight="1" x14ac:dyDescent="0.3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4.25" customHeight="1" x14ac:dyDescent="0.3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4.25" customHeight="1" x14ac:dyDescent="0.3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4.25" customHeight="1" x14ac:dyDescent="0.3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4.25" customHeight="1" x14ac:dyDescent="0.3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4.25" customHeight="1" x14ac:dyDescent="0.3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4.25" customHeight="1" x14ac:dyDescent="0.3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4.25" customHeight="1" x14ac:dyDescent="0.3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4.25" customHeight="1" x14ac:dyDescent="0.3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4.25" customHeight="1" x14ac:dyDescent="0.3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4.25" customHeight="1" x14ac:dyDescent="0.3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4.25" customHeight="1" x14ac:dyDescent="0.3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4.25" customHeight="1" x14ac:dyDescent="0.3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4.25" customHeight="1" x14ac:dyDescent="0.3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4.25" customHeight="1" x14ac:dyDescent="0.3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4.25" customHeight="1" x14ac:dyDescent="0.3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4.25" customHeight="1" x14ac:dyDescent="0.3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4.25" customHeight="1" x14ac:dyDescent="0.3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4.25" customHeight="1" x14ac:dyDescent="0.3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4.25" customHeight="1" x14ac:dyDescent="0.3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4.25" customHeight="1" x14ac:dyDescent="0.3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4.25" customHeight="1" x14ac:dyDescent="0.3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4.25" customHeight="1" x14ac:dyDescent="0.3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4.25" customHeight="1" x14ac:dyDescent="0.3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4.25" customHeight="1" x14ac:dyDescent="0.3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4.25" customHeight="1" x14ac:dyDescent="0.3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4.25" customHeight="1" x14ac:dyDescent="0.3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4.25" customHeight="1" x14ac:dyDescent="0.3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4.25" customHeight="1" x14ac:dyDescent="0.3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4.25" customHeight="1" x14ac:dyDescent="0.3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4.25" customHeight="1" x14ac:dyDescent="0.3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4.25" customHeight="1" x14ac:dyDescent="0.3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4.25" customHeight="1" x14ac:dyDescent="0.3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4.25" customHeight="1" x14ac:dyDescent="0.3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4.25" customHeight="1" x14ac:dyDescent="0.3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4.25" customHeight="1" x14ac:dyDescent="0.3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4.25" customHeight="1" x14ac:dyDescent="0.3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4.25" customHeight="1" x14ac:dyDescent="0.3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4.25" customHeight="1" x14ac:dyDescent="0.3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4.25" customHeight="1" x14ac:dyDescent="0.3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4.25" customHeight="1" x14ac:dyDescent="0.3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4.25" customHeight="1" x14ac:dyDescent="0.3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4.25" customHeight="1" x14ac:dyDescent="0.3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4.25" customHeight="1" x14ac:dyDescent="0.3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4.25" customHeight="1" x14ac:dyDescent="0.3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4.25" customHeight="1" x14ac:dyDescent="0.3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4.25" customHeight="1" x14ac:dyDescent="0.3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4.25" customHeight="1" x14ac:dyDescent="0.3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4.25" customHeight="1" x14ac:dyDescent="0.3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4.25" customHeight="1" x14ac:dyDescent="0.3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4.25" customHeight="1" x14ac:dyDescent="0.3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4.25" customHeight="1" x14ac:dyDescent="0.3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4.25" customHeight="1" x14ac:dyDescent="0.3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4.25" customHeight="1" x14ac:dyDescent="0.3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4.25" customHeight="1" x14ac:dyDescent="0.3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4.25" customHeight="1" x14ac:dyDescent="0.3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4.25" customHeight="1" x14ac:dyDescent="0.3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4.25" customHeight="1" x14ac:dyDescent="0.3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4.25" customHeight="1" x14ac:dyDescent="0.3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4.25" customHeight="1" x14ac:dyDescent="0.3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4.25" customHeight="1" x14ac:dyDescent="0.3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4.25" customHeight="1" x14ac:dyDescent="0.3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4.25" customHeight="1" x14ac:dyDescent="0.3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4.25" customHeight="1" x14ac:dyDescent="0.3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4.25" customHeight="1" x14ac:dyDescent="0.3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4.25" customHeight="1" x14ac:dyDescent="0.3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4.25" customHeight="1" x14ac:dyDescent="0.3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4.25" customHeight="1" x14ac:dyDescent="0.3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4.25" customHeight="1" x14ac:dyDescent="0.3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4.25" customHeight="1" x14ac:dyDescent="0.3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4.25" customHeight="1" x14ac:dyDescent="0.3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4.25" customHeight="1" x14ac:dyDescent="0.3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4.25" customHeight="1" x14ac:dyDescent="0.3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4.25" customHeight="1" x14ac:dyDescent="0.3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4.25" customHeight="1" x14ac:dyDescent="0.3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4.25" customHeight="1" x14ac:dyDescent="0.3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4.25" customHeight="1" x14ac:dyDescent="0.3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4.25" customHeight="1" x14ac:dyDescent="0.3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4.25" customHeight="1" x14ac:dyDescent="0.3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4.25" customHeight="1" x14ac:dyDescent="0.3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4.25" customHeight="1" x14ac:dyDescent="0.3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4.25" customHeight="1" x14ac:dyDescent="0.3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4.25" customHeight="1" x14ac:dyDescent="0.3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4.25" customHeight="1" x14ac:dyDescent="0.3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4.25" customHeight="1" x14ac:dyDescent="0.3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4.25" customHeight="1" x14ac:dyDescent="0.3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4.25" customHeight="1" x14ac:dyDescent="0.3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4.25" customHeight="1" x14ac:dyDescent="0.3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4.25" customHeight="1" x14ac:dyDescent="0.3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4.25" customHeight="1" x14ac:dyDescent="0.3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4.25" customHeight="1" x14ac:dyDescent="0.3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4.25" customHeight="1" x14ac:dyDescent="0.3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4.25" customHeight="1" x14ac:dyDescent="0.3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4.25" customHeight="1" x14ac:dyDescent="0.3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4.25" customHeight="1" x14ac:dyDescent="0.3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4.25" customHeight="1" x14ac:dyDescent="0.3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4.25" customHeight="1" x14ac:dyDescent="0.3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4.25" customHeight="1" x14ac:dyDescent="0.3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4.25" customHeight="1" x14ac:dyDescent="0.3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4.25" customHeight="1" x14ac:dyDescent="0.3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4.25" customHeight="1" x14ac:dyDescent="0.3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4.25" customHeight="1" x14ac:dyDescent="0.3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4.25" customHeight="1" x14ac:dyDescent="0.3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4.25" customHeight="1" x14ac:dyDescent="0.3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4.25" customHeight="1" x14ac:dyDescent="0.3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4.25" customHeight="1" x14ac:dyDescent="0.3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4.25" customHeight="1" x14ac:dyDescent="0.3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4.25" customHeight="1" x14ac:dyDescent="0.3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4.25" customHeight="1" x14ac:dyDescent="0.3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4.25" customHeight="1" x14ac:dyDescent="0.3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4.25" customHeight="1" x14ac:dyDescent="0.3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4.25" customHeight="1" x14ac:dyDescent="0.3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4.25" customHeight="1" x14ac:dyDescent="0.3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4.25" customHeight="1" x14ac:dyDescent="0.3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4.25" customHeight="1" x14ac:dyDescent="0.3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4.25" customHeight="1" x14ac:dyDescent="0.3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4.25" customHeight="1" x14ac:dyDescent="0.3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4.25" customHeight="1" x14ac:dyDescent="0.3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4.25" customHeight="1" x14ac:dyDescent="0.3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4.25" customHeight="1" x14ac:dyDescent="0.3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4.25" customHeight="1" x14ac:dyDescent="0.3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4.25" customHeight="1" x14ac:dyDescent="0.3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4.25" customHeight="1" x14ac:dyDescent="0.3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4134" spans="7:7" ht="15" customHeight="1" x14ac:dyDescent="0.3">
      <c r="G4134">
        <v>18</v>
      </c>
    </row>
  </sheetData>
  <mergeCells count="4">
    <mergeCell ref="G2:N2"/>
    <mergeCell ref="K15:N15"/>
    <mergeCell ref="K18:M18"/>
    <mergeCell ref="K19:M19"/>
  </mergeCells>
  <conditionalFormatting sqref="B8:H71">
    <cfRule type="notContainsBlanks" dxfId="30" priority="3" stopIfTrue="1">
      <formula>LEN(TRIM(B8))&gt;0</formula>
    </cfRule>
  </conditionalFormatting>
  <conditionalFormatting sqref="B72:H72">
    <cfRule type="notContainsBlanks" dxfId="29" priority="2" stopIfTrue="1">
      <formula>LEN(TRIM(B72))&gt;0</formula>
    </cfRule>
  </conditionalFormatting>
  <conditionalFormatting sqref="B73:H73">
    <cfRule type="notContainsBlanks" dxfId="28" priority="1" stopIfTrue="1">
      <formula>LEN(TRIM(B73))&gt;0</formula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5" workbookViewId="0">
      <selection activeCell="B60" sqref="B60"/>
    </sheetView>
  </sheetViews>
  <sheetFormatPr baseColWidth="10" defaultColWidth="14.44140625" defaultRowHeight="15" customHeight="1" x14ac:dyDescent="0.3"/>
  <cols>
    <col min="1" max="1" width="11.44140625" customWidth="1"/>
    <col min="2" max="2" width="29.44140625" customWidth="1"/>
    <col min="3" max="3" width="7.6640625" customWidth="1"/>
    <col min="4" max="8" width="11.44140625" customWidth="1"/>
    <col min="9" max="9" width="4" customWidth="1"/>
    <col min="10" max="26" width="11.44140625" customWidth="1"/>
  </cols>
  <sheetData>
    <row r="1" spans="1:26" ht="14.2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4.25" customHeight="1" x14ac:dyDescent="0.4">
      <c r="A2" s="18"/>
      <c r="B2" s="18"/>
      <c r="C2" s="18"/>
      <c r="D2" s="18"/>
      <c r="E2" s="18"/>
      <c r="F2" s="139" t="s">
        <v>147</v>
      </c>
      <c r="G2" s="140"/>
      <c r="H2" s="140"/>
      <c r="I2" s="140"/>
      <c r="J2" s="140"/>
      <c r="K2" s="140"/>
      <c r="L2" s="140"/>
      <c r="M2" s="141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4.25" customHeigh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4.2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4.25" customHeigh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4.25" customHeight="1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4.25" customHeight="1" x14ac:dyDescent="0.3">
      <c r="A7" s="18"/>
      <c r="B7" s="84" t="s">
        <v>138</v>
      </c>
      <c r="C7" s="84" t="s">
        <v>3</v>
      </c>
      <c r="D7" s="18"/>
      <c r="E7" s="18"/>
      <c r="F7" s="18"/>
      <c r="G7" s="18"/>
      <c r="H7" s="18"/>
      <c r="I7" s="66"/>
      <c r="J7" s="67"/>
      <c r="K7" s="67"/>
      <c r="L7" s="67"/>
      <c r="M7" s="6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4.25" customHeight="1" x14ac:dyDescent="0.3">
      <c r="A8" s="18"/>
      <c r="B8" s="20" t="s">
        <v>128</v>
      </c>
      <c r="C8" s="18" t="s">
        <v>129</v>
      </c>
      <c r="D8" s="18"/>
      <c r="E8" s="18"/>
      <c r="F8" s="18"/>
      <c r="G8" s="18"/>
      <c r="H8" s="18"/>
      <c r="I8" s="70"/>
      <c r="J8" s="72" t="s">
        <v>148</v>
      </c>
      <c r="K8" s="73"/>
      <c r="L8" s="73"/>
      <c r="M8" s="74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4.25" customHeight="1" x14ac:dyDescent="0.3">
      <c r="A9" s="18"/>
      <c r="B9" s="20" t="s">
        <v>30</v>
      </c>
      <c r="C9" s="18" t="s">
        <v>31</v>
      </c>
      <c r="D9" s="18"/>
      <c r="E9" s="18"/>
      <c r="F9" s="18"/>
      <c r="G9" s="18"/>
      <c r="H9" s="18"/>
      <c r="I9" s="79"/>
      <c r="J9" s="80"/>
      <c r="K9" s="18"/>
      <c r="L9" s="18"/>
      <c r="M9" s="81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4.25" customHeight="1" x14ac:dyDescent="0.3">
      <c r="A10" s="18"/>
      <c r="B10" s="20" t="s">
        <v>28</v>
      </c>
      <c r="C10" s="18" t="s">
        <v>29</v>
      </c>
      <c r="D10" s="18"/>
      <c r="E10" s="18"/>
      <c r="F10" s="18"/>
      <c r="G10" s="18"/>
      <c r="H10" s="18"/>
      <c r="I10" s="83"/>
      <c r="J10" s="143"/>
      <c r="K10" s="136"/>
      <c r="L10" s="138"/>
      <c r="M10" s="81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4.25" customHeight="1" x14ac:dyDescent="0.3">
      <c r="A11" s="18"/>
      <c r="B11" s="20" t="s">
        <v>7</v>
      </c>
      <c r="C11" s="18" t="s">
        <v>9</v>
      </c>
      <c r="D11" s="18"/>
      <c r="E11" s="18"/>
      <c r="F11" s="18"/>
      <c r="G11" s="18"/>
      <c r="H11" s="18"/>
      <c r="I11" s="83"/>
      <c r="J11" s="143"/>
      <c r="K11" s="136"/>
      <c r="L11" s="138"/>
      <c r="M11" s="81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4.25" customHeight="1" x14ac:dyDescent="0.3">
      <c r="A12" s="18"/>
      <c r="B12" s="20" t="s">
        <v>149</v>
      </c>
      <c r="C12" s="18" t="s">
        <v>76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4.25" customHeight="1" x14ac:dyDescent="0.3">
      <c r="A13" s="18"/>
      <c r="B13" s="20" t="s">
        <v>22</v>
      </c>
      <c r="C13" s="18" t="s">
        <v>23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4.25" customHeight="1" x14ac:dyDescent="0.3">
      <c r="A14" s="18"/>
      <c r="B14" s="20" t="s">
        <v>150</v>
      </c>
      <c r="C14" s="18" t="s">
        <v>135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4.25" customHeight="1" x14ac:dyDescent="0.3">
      <c r="A15" s="18"/>
      <c r="B15" s="20" t="s">
        <v>188</v>
      </c>
      <c r="C15" s="18" t="s">
        <v>92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4.25" customHeight="1" x14ac:dyDescent="0.3">
      <c r="A16" s="18"/>
      <c r="B16" s="20" t="s">
        <v>43</v>
      </c>
      <c r="C16" s="18" t="s">
        <v>44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4.25" customHeight="1" x14ac:dyDescent="0.3">
      <c r="A17" s="18"/>
      <c r="B17" s="20" t="s">
        <v>77</v>
      </c>
      <c r="C17" s="18" t="s">
        <v>78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4.25" customHeight="1" x14ac:dyDescent="0.3">
      <c r="A18" s="18"/>
      <c r="B18" s="20" t="s">
        <v>73</v>
      </c>
      <c r="C18" s="18" t="s">
        <v>74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4.25" customHeight="1" x14ac:dyDescent="0.3">
      <c r="A19" s="18"/>
      <c r="B19" s="39" t="s">
        <v>39</v>
      </c>
      <c r="C19" s="18" t="s">
        <v>40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4.25" customHeight="1" x14ac:dyDescent="0.3">
      <c r="A20" s="18"/>
      <c r="B20" s="26" t="s">
        <v>41</v>
      </c>
      <c r="C20" s="18" t="s">
        <v>42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4.25" customHeight="1" x14ac:dyDescent="0.3">
      <c r="A21" s="18"/>
      <c r="B21" s="26" t="s">
        <v>35</v>
      </c>
      <c r="C21" s="18" t="s">
        <v>36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4.25" customHeight="1" x14ac:dyDescent="0.3">
      <c r="A22" s="18"/>
      <c r="B22" s="26" t="s">
        <v>37</v>
      </c>
      <c r="C22" s="18" t="s">
        <v>38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4.25" customHeight="1" x14ac:dyDescent="0.3">
      <c r="A23" s="18"/>
      <c r="B23" s="26" t="s">
        <v>51</v>
      </c>
      <c r="C23" s="18" t="s">
        <v>52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4.25" customHeight="1" x14ac:dyDescent="0.3">
      <c r="A24" s="18"/>
      <c r="B24" s="8" t="s">
        <v>93</v>
      </c>
      <c r="C24" s="18" t="s">
        <v>94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4.25" customHeight="1" x14ac:dyDescent="0.3">
      <c r="A25" s="18"/>
      <c r="B25" s="26" t="s">
        <v>19</v>
      </c>
      <c r="C25" s="18" t="s">
        <v>21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4.25" customHeight="1" x14ac:dyDescent="0.3">
      <c r="A26" s="18"/>
      <c r="B26" s="26" t="s">
        <v>80</v>
      </c>
      <c r="C26" s="18" t="s">
        <v>81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4.25" customHeight="1" x14ac:dyDescent="0.3">
      <c r="A27" s="18"/>
      <c r="B27" s="26" t="s">
        <v>49</v>
      </c>
      <c r="C27" s="18" t="s">
        <v>50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4.25" customHeight="1" x14ac:dyDescent="0.3">
      <c r="A28" s="18"/>
      <c r="B28" s="26" t="s">
        <v>95</v>
      </c>
      <c r="C28" s="18" t="s">
        <v>96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4.25" customHeight="1" x14ac:dyDescent="0.3">
      <c r="A29" s="18"/>
      <c r="B29" s="26" t="s">
        <v>47</v>
      </c>
      <c r="C29" s="18" t="s">
        <v>48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4.25" customHeight="1" x14ac:dyDescent="0.3">
      <c r="A30" s="18"/>
      <c r="B30" s="26" t="s">
        <v>70</v>
      </c>
      <c r="C30" s="18" t="s">
        <v>72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4.25" customHeight="1" x14ac:dyDescent="0.3">
      <c r="A31" s="18"/>
      <c r="B31" s="26" t="s">
        <v>151</v>
      </c>
      <c r="C31" s="18" t="s">
        <v>152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4.25" customHeight="1" x14ac:dyDescent="0.3">
      <c r="A32" s="18"/>
      <c r="B32" s="26" t="s">
        <v>53</v>
      </c>
      <c r="C32" s="18" t="s">
        <v>54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4.25" customHeight="1" x14ac:dyDescent="0.3">
      <c r="A33" s="18"/>
      <c r="B33" s="26" t="s">
        <v>153</v>
      </c>
      <c r="C33" s="18" t="s">
        <v>69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4.25" customHeight="1" x14ac:dyDescent="0.3">
      <c r="A34" s="18"/>
      <c r="B34" s="26" t="s">
        <v>24</v>
      </c>
      <c r="C34" s="18" t="s">
        <v>25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4.25" customHeight="1" x14ac:dyDescent="0.3">
      <c r="A35" s="18"/>
      <c r="B35" s="26" t="s">
        <v>154</v>
      </c>
      <c r="C35" s="18" t="s">
        <v>155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4.25" customHeight="1" x14ac:dyDescent="0.3">
      <c r="A36" s="18"/>
      <c r="B36" s="18" t="s">
        <v>66</v>
      </c>
      <c r="C36" s="18" t="s">
        <v>67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4.25" customHeight="1" x14ac:dyDescent="0.3">
      <c r="A37" s="18"/>
      <c r="B37" s="18" t="s">
        <v>32</v>
      </c>
      <c r="C37" s="18" t="s">
        <v>34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4.25" customHeight="1" x14ac:dyDescent="0.3">
      <c r="A38" s="18"/>
      <c r="B38" s="18" t="s">
        <v>117</v>
      </c>
      <c r="C38" s="18" t="s">
        <v>118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4.25" customHeight="1" x14ac:dyDescent="0.3">
      <c r="A39" s="18"/>
      <c r="B39" s="26" t="s">
        <v>68</v>
      </c>
      <c r="C39" s="18" t="s">
        <v>69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4.25" customHeight="1" x14ac:dyDescent="0.3">
      <c r="A40" s="18"/>
      <c r="B40" s="14" t="s">
        <v>55</v>
      </c>
      <c r="C40" s="18" t="s">
        <v>56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4.25" customHeight="1" x14ac:dyDescent="0.3">
      <c r="A41" s="18"/>
      <c r="B41" s="14" t="s">
        <v>57</v>
      </c>
      <c r="C41" s="18" t="s">
        <v>58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4.25" customHeight="1" x14ac:dyDescent="0.3">
      <c r="A42" s="18"/>
      <c r="B42" s="14" t="s">
        <v>127</v>
      </c>
      <c r="C42" s="18" t="s">
        <v>99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4.25" customHeight="1" x14ac:dyDescent="0.3">
      <c r="A43" s="18"/>
      <c r="B43" s="18" t="s">
        <v>45</v>
      </c>
      <c r="C43" s="18" t="s">
        <v>59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4.25" customHeight="1" x14ac:dyDescent="0.3">
      <c r="A44" s="18"/>
      <c r="B44" s="18" t="s">
        <v>14</v>
      </c>
      <c r="C44" s="18" t="s">
        <v>15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4.25" customHeight="1" x14ac:dyDescent="0.3">
      <c r="A45" s="18"/>
      <c r="B45" s="14" t="s">
        <v>11</v>
      </c>
      <c r="C45" s="18" t="s">
        <v>13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4.25" customHeight="1" x14ac:dyDescent="0.3">
      <c r="A46" s="18"/>
      <c r="B46" s="14" t="s">
        <v>61</v>
      </c>
      <c r="C46" s="18" t="s">
        <v>62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4.25" customHeight="1" x14ac:dyDescent="0.3">
      <c r="A47" s="18"/>
      <c r="B47" s="14" t="s">
        <v>126</v>
      </c>
      <c r="C47" s="18" t="s">
        <v>97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4.25" customHeight="1" x14ac:dyDescent="0.3">
      <c r="A48" s="18"/>
      <c r="B48" s="18" t="s">
        <v>156</v>
      </c>
      <c r="C48" s="18" t="s">
        <v>157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4.25" customHeight="1" x14ac:dyDescent="0.3">
      <c r="A49" s="18"/>
      <c r="B49" s="18" t="s">
        <v>79</v>
      </c>
      <c r="C49" s="18" t="s">
        <v>82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4.25" customHeight="1" x14ac:dyDescent="0.3">
      <c r="A50" s="18"/>
      <c r="B50" s="18" t="s">
        <v>16</v>
      </c>
      <c r="C50" s="18" t="s">
        <v>17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4.25" customHeight="1" x14ac:dyDescent="0.3">
      <c r="A51" s="18"/>
      <c r="B51" s="18" t="s">
        <v>24</v>
      </c>
      <c r="C51" s="18" t="s">
        <v>25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4.25" customHeight="1" x14ac:dyDescent="0.3">
      <c r="A52" s="18"/>
      <c r="B52" s="18" t="s">
        <v>158</v>
      </c>
      <c r="C52" s="18" t="s">
        <v>159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4.25" customHeight="1" x14ac:dyDescent="0.3">
      <c r="A53" s="18"/>
      <c r="B53" s="20" t="s">
        <v>26</v>
      </c>
      <c r="C53" s="18" t="s">
        <v>27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4.25" customHeight="1" x14ac:dyDescent="0.3">
      <c r="A54" s="18"/>
      <c r="B54" s="18" t="s">
        <v>63</v>
      </c>
      <c r="C54" s="18" t="s">
        <v>64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4.25" customHeight="1" x14ac:dyDescent="0.3">
      <c r="A55" s="18"/>
      <c r="B55" s="39" t="s">
        <v>83</v>
      </c>
      <c r="C55" s="18" t="s">
        <v>84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4.25" customHeight="1" x14ac:dyDescent="0.3">
      <c r="A56" s="18"/>
      <c r="B56" s="26" t="s">
        <v>87</v>
      </c>
      <c r="C56" s="18" t="s">
        <v>88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4.25" customHeight="1" x14ac:dyDescent="0.3">
      <c r="A57" s="18"/>
      <c r="B57" s="39" t="s">
        <v>90</v>
      </c>
      <c r="C57" s="18" t="s">
        <v>91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4.25" customHeight="1" x14ac:dyDescent="0.3">
      <c r="A58" s="18"/>
      <c r="B58" s="26" t="s">
        <v>101</v>
      </c>
      <c r="C58" s="18" t="s">
        <v>102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4.25" customHeight="1" x14ac:dyDescent="0.3">
      <c r="A59" s="18"/>
      <c r="B59" s="42" t="s">
        <v>106</v>
      </c>
      <c r="C59" s="18" t="s">
        <v>107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4.25" customHeight="1" x14ac:dyDescent="0.3">
      <c r="A60" s="18"/>
      <c r="B60" s="18" t="s">
        <v>108</v>
      </c>
      <c r="C60" s="18" t="s">
        <v>109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4.25" customHeight="1" x14ac:dyDescent="0.3">
      <c r="A61" s="18"/>
      <c r="B61" s="14" t="s">
        <v>110</v>
      </c>
      <c r="C61" s="18" t="s">
        <v>111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4.25" customHeight="1" x14ac:dyDescent="0.3">
      <c r="A62" s="18"/>
      <c r="B62" s="18" t="s">
        <v>115</v>
      </c>
      <c r="C62" s="18" t="s">
        <v>116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4.25" customHeight="1" x14ac:dyDescent="0.3">
      <c r="A63" s="18"/>
      <c r="B63" s="18" t="s">
        <v>122</v>
      </c>
      <c r="C63" s="18" t="s">
        <v>123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4.25" customHeight="1" x14ac:dyDescent="0.3">
      <c r="A64" s="18"/>
      <c r="B64" s="18" t="s">
        <v>131</v>
      </c>
      <c r="C64" s="18" t="s">
        <v>132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4.25" customHeight="1" x14ac:dyDescent="0.3">
      <c r="A65" s="18"/>
      <c r="B65" s="85" t="s">
        <v>136</v>
      </c>
      <c r="C65" s="85" t="s">
        <v>136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4.25" customHeight="1" x14ac:dyDescent="0.3">
      <c r="A66" s="18"/>
      <c r="B66" s="26" t="s">
        <v>162</v>
      </c>
      <c r="C66" s="93" t="s">
        <v>163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4.25" customHeight="1" x14ac:dyDescent="0.3">
      <c r="A67" s="18"/>
      <c r="B67" s="18" t="s">
        <v>164</v>
      </c>
      <c r="C67" s="18" t="s">
        <v>165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4.25" customHeight="1" x14ac:dyDescent="0.3">
      <c r="A68" s="18"/>
      <c r="B68" s="37" t="s">
        <v>167</v>
      </c>
      <c r="C68" s="93" t="s">
        <v>168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4.25" customHeight="1" x14ac:dyDescent="0.3">
      <c r="A69" s="18"/>
      <c r="B69" s="26" t="s">
        <v>172</v>
      </c>
      <c r="C69" s="93" t="s">
        <v>173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4.25" customHeight="1" x14ac:dyDescent="0.3">
      <c r="A70" s="18"/>
      <c r="B70" s="108" t="s">
        <v>175</v>
      </c>
      <c r="C70" s="109" t="s">
        <v>176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4.25" customHeight="1" x14ac:dyDescent="0.3">
      <c r="A71" s="18"/>
      <c r="B71" s="18" t="s">
        <v>178</v>
      </c>
      <c r="C71" s="18" t="s">
        <v>177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4.25" customHeight="1" x14ac:dyDescent="0.3">
      <c r="A72" s="18"/>
      <c r="B72" s="114" t="s">
        <v>181</v>
      </c>
      <c r="C72" s="115" t="s">
        <v>182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4.25" customHeight="1" x14ac:dyDescent="0.3">
      <c r="A73" s="18"/>
      <c r="B73" s="115" t="s">
        <v>183</v>
      </c>
      <c r="C73" s="115" t="s">
        <v>184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4.25" customHeight="1" x14ac:dyDescent="0.3">
      <c r="A74" s="18"/>
      <c r="B74" s="93" t="s">
        <v>187</v>
      </c>
      <c r="C74" s="93" t="s">
        <v>187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4.25" customHeight="1" x14ac:dyDescent="0.3">
      <c r="A75" s="18"/>
      <c r="B75" s="18" t="s">
        <v>195</v>
      </c>
      <c r="C75" s="18" t="s">
        <v>196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4.25" customHeight="1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4.25" customHeight="1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4.25" customHeight="1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4.25" customHeight="1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4.25" customHeight="1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4.25" customHeight="1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4.25" customHeight="1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4.25" customHeight="1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4.25" customHeight="1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4.25" customHeight="1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4.25" customHeight="1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4.25" customHeight="1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4.25" customHeight="1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4.25" customHeight="1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4.25" customHeight="1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4.25" customHeight="1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4.25" customHeight="1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4.25" customHeight="1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4.25" customHeight="1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4.25" customHeight="1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4.25" customHeight="1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4.25" customHeight="1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4.25" customHeight="1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4.25" customHeight="1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4.25" customHeight="1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4.25" customHeight="1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4.25" customHeight="1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4.25" customHeight="1" x14ac:dyDescent="0.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4.25" customHeight="1" x14ac:dyDescent="0.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4.25" customHeight="1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4.25" customHeight="1" x14ac:dyDescent="0.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4.25" customHeight="1" x14ac:dyDescent="0.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4.25" customHeight="1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4.25" customHeight="1" x14ac:dyDescent="0.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4.25" customHeight="1" x14ac:dyDescent="0.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4.25" customHeight="1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4.25" customHeight="1" x14ac:dyDescent="0.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4.25" customHeight="1" x14ac:dyDescent="0.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4.25" customHeight="1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4.25" customHeight="1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4.25" customHeight="1" x14ac:dyDescent="0.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4.25" customHeight="1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4.25" customHeight="1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4.25" customHeight="1" x14ac:dyDescent="0.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4.25" customHeight="1" x14ac:dyDescent="0.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4.25" customHeight="1" x14ac:dyDescent="0.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4.25" customHeight="1" x14ac:dyDescent="0.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4.25" customHeight="1" x14ac:dyDescent="0.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4.25" customHeight="1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4.25" customHeight="1" x14ac:dyDescent="0.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4.25" customHeight="1" x14ac:dyDescent="0.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4.25" customHeight="1" x14ac:dyDescent="0.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4.25" customHeight="1" x14ac:dyDescent="0.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4.25" customHeight="1" x14ac:dyDescent="0.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4.25" customHeight="1" x14ac:dyDescent="0.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4.25" customHeight="1" x14ac:dyDescent="0.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4.25" customHeight="1" x14ac:dyDescent="0.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4.25" customHeight="1" x14ac:dyDescent="0.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4.25" customHeight="1" x14ac:dyDescent="0.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4.25" customHeight="1" x14ac:dyDescent="0.3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4.25" customHeight="1" x14ac:dyDescent="0.3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4.25" customHeight="1" x14ac:dyDescent="0.3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4.25" customHeight="1" x14ac:dyDescent="0.3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4.25" customHeight="1" x14ac:dyDescent="0.3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4.25" customHeight="1" x14ac:dyDescent="0.3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4.25" customHeight="1" x14ac:dyDescent="0.3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4.25" customHeight="1" x14ac:dyDescent="0.3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4.25" customHeight="1" x14ac:dyDescent="0.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4.25" customHeight="1" x14ac:dyDescent="0.3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4.25" customHeight="1" x14ac:dyDescent="0.3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4.25" customHeight="1" x14ac:dyDescent="0.3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4.25" customHeight="1" x14ac:dyDescent="0.3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4.25" customHeight="1" x14ac:dyDescent="0.3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4.25" customHeight="1" x14ac:dyDescent="0.3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4.25" customHeight="1" x14ac:dyDescent="0.3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4.25" customHeight="1" x14ac:dyDescent="0.3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4.25" customHeight="1" x14ac:dyDescent="0.3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4.25" customHeight="1" x14ac:dyDescent="0.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4.25" customHeight="1" x14ac:dyDescent="0.3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4.25" customHeight="1" x14ac:dyDescent="0.3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4.25" customHeight="1" x14ac:dyDescent="0.3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4.25" customHeight="1" x14ac:dyDescent="0.3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4.25" customHeight="1" x14ac:dyDescent="0.3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4.25" customHeight="1" x14ac:dyDescent="0.3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4.25" customHeight="1" x14ac:dyDescent="0.3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4.25" customHeight="1" x14ac:dyDescent="0.3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4.25" customHeight="1" x14ac:dyDescent="0.3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4.25" customHeight="1" x14ac:dyDescent="0.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4.25" customHeight="1" x14ac:dyDescent="0.3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4.25" customHeight="1" x14ac:dyDescent="0.3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4.25" customHeight="1" x14ac:dyDescent="0.3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4.25" customHeight="1" x14ac:dyDescent="0.3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4.25" customHeight="1" x14ac:dyDescent="0.3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4.25" customHeight="1" x14ac:dyDescent="0.3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4.25" customHeight="1" x14ac:dyDescent="0.3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4.25" customHeight="1" x14ac:dyDescent="0.3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4.25" customHeight="1" x14ac:dyDescent="0.3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4.25" customHeight="1" x14ac:dyDescent="0.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4.25" customHeight="1" x14ac:dyDescent="0.3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4.25" customHeight="1" x14ac:dyDescent="0.3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4.25" customHeight="1" x14ac:dyDescent="0.3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4.25" customHeight="1" x14ac:dyDescent="0.3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4.25" customHeight="1" x14ac:dyDescent="0.3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4.25" customHeight="1" x14ac:dyDescent="0.3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4.25" customHeight="1" x14ac:dyDescent="0.3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4.25" customHeight="1" x14ac:dyDescent="0.3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4.25" customHeight="1" x14ac:dyDescent="0.3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4.25" customHeight="1" x14ac:dyDescent="0.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4.25" customHeight="1" x14ac:dyDescent="0.3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4.25" customHeight="1" x14ac:dyDescent="0.3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4.25" customHeight="1" x14ac:dyDescent="0.3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4.25" customHeight="1" x14ac:dyDescent="0.3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4.25" customHeight="1" x14ac:dyDescent="0.3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4.25" customHeight="1" x14ac:dyDescent="0.3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4.25" customHeight="1" x14ac:dyDescent="0.3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4.25" customHeight="1" x14ac:dyDescent="0.3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4.25" customHeight="1" x14ac:dyDescent="0.3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4.25" customHeight="1" x14ac:dyDescent="0.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4.25" customHeight="1" x14ac:dyDescent="0.3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4.25" customHeight="1" x14ac:dyDescent="0.3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4.25" customHeight="1" x14ac:dyDescent="0.3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4.25" customHeight="1" x14ac:dyDescent="0.3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4.25" customHeight="1" x14ac:dyDescent="0.3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4.25" customHeight="1" x14ac:dyDescent="0.3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4.25" customHeight="1" x14ac:dyDescent="0.3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4.25" customHeight="1" x14ac:dyDescent="0.3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4.25" customHeight="1" x14ac:dyDescent="0.3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4.25" customHeight="1" x14ac:dyDescent="0.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4.25" customHeight="1" x14ac:dyDescent="0.3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4.25" customHeight="1" x14ac:dyDescent="0.3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4.25" customHeight="1" x14ac:dyDescent="0.3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4.25" customHeight="1" x14ac:dyDescent="0.3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4.25" customHeight="1" x14ac:dyDescent="0.3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4.25" customHeight="1" x14ac:dyDescent="0.3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4.25" customHeight="1" x14ac:dyDescent="0.3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4.25" customHeight="1" x14ac:dyDescent="0.3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4.25" customHeight="1" x14ac:dyDescent="0.3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4.25" customHeight="1" x14ac:dyDescent="0.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4.25" customHeight="1" x14ac:dyDescent="0.3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4.25" customHeight="1" x14ac:dyDescent="0.3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4.25" customHeight="1" x14ac:dyDescent="0.3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4.25" customHeight="1" x14ac:dyDescent="0.3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4.25" customHeight="1" x14ac:dyDescent="0.3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4.25" customHeight="1" x14ac:dyDescent="0.3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4.25" customHeight="1" x14ac:dyDescent="0.3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4.25" customHeight="1" x14ac:dyDescent="0.3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4.25" customHeight="1" x14ac:dyDescent="0.3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4.25" customHeight="1" x14ac:dyDescent="0.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4.25" customHeight="1" x14ac:dyDescent="0.3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4.25" customHeight="1" x14ac:dyDescent="0.3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4.25" customHeight="1" x14ac:dyDescent="0.3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4.25" customHeight="1" x14ac:dyDescent="0.3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4.25" customHeight="1" x14ac:dyDescent="0.3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4.25" customHeight="1" x14ac:dyDescent="0.3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4.25" customHeight="1" x14ac:dyDescent="0.3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4.25" customHeight="1" x14ac:dyDescent="0.3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4.25" customHeight="1" x14ac:dyDescent="0.3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4.25" customHeight="1" x14ac:dyDescent="0.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4.25" customHeight="1" x14ac:dyDescent="0.3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4.25" customHeight="1" x14ac:dyDescent="0.3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4.25" customHeight="1" x14ac:dyDescent="0.3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4.25" customHeight="1" x14ac:dyDescent="0.3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4.25" customHeight="1" x14ac:dyDescent="0.3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4.25" customHeight="1" x14ac:dyDescent="0.3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4.25" customHeight="1" x14ac:dyDescent="0.3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4.25" customHeight="1" x14ac:dyDescent="0.3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4.25" customHeight="1" x14ac:dyDescent="0.3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4.25" customHeight="1" x14ac:dyDescent="0.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4.25" customHeight="1" x14ac:dyDescent="0.3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4.25" customHeight="1" x14ac:dyDescent="0.3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4.25" customHeight="1" x14ac:dyDescent="0.3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4.25" customHeight="1" x14ac:dyDescent="0.3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4.25" customHeight="1" x14ac:dyDescent="0.3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4.25" customHeight="1" x14ac:dyDescent="0.3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4.25" customHeight="1" x14ac:dyDescent="0.3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4.25" customHeight="1" x14ac:dyDescent="0.3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4.25" customHeight="1" x14ac:dyDescent="0.3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4.25" customHeight="1" x14ac:dyDescent="0.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4.25" customHeight="1" x14ac:dyDescent="0.3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4.25" customHeight="1" x14ac:dyDescent="0.3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4.25" customHeight="1" x14ac:dyDescent="0.3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4.25" customHeight="1" x14ac:dyDescent="0.3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4.25" customHeight="1" x14ac:dyDescent="0.3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4.25" customHeight="1" x14ac:dyDescent="0.3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4.25" customHeight="1" x14ac:dyDescent="0.3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4.25" customHeight="1" x14ac:dyDescent="0.3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4.25" customHeight="1" x14ac:dyDescent="0.3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4.25" customHeight="1" x14ac:dyDescent="0.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4.25" customHeight="1" x14ac:dyDescent="0.3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4.25" customHeight="1" x14ac:dyDescent="0.3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4.25" customHeight="1" x14ac:dyDescent="0.3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4.25" customHeight="1" x14ac:dyDescent="0.3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4.25" customHeight="1" x14ac:dyDescent="0.3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4.25" customHeight="1" x14ac:dyDescent="0.3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4.25" customHeight="1" x14ac:dyDescent="0.3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4.25" customHeight="1" x14ac:dyDescent="0.3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4.25" customHeight="1" x14ac:dyDescent="0.3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4.25" customHeight="1" x14ac:dyDescent="0.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4.25" customHeight="1" x14ac:dyDescent="0.3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4.25" customHeight="1" x14ac:dyDescent="0.3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4.25" customHeight="1" x14ac:dyDescent="0.3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4.25" customHeight="1" x14ac:dyDescent="0.3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4.25" customHeight="1" x14ac:dyDescent="0.3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4.25" customHeight="1" x14ac:dyDescent="0.3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4.25" customHeight="1" x14ac:dyDescent="0.3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4.25" customHeight="1" x14ac:dyDescent="0.3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4.25" customHeight="1" x14ac:dyDescent="0.3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4.25" customHeight="1" x14ac:dyDescent="0.3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4.25" customHeight="1" x14ac:dyDescent="0.3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4.25" customHeight="1" x14ac:dyDescent="0.3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4.25" customHeight="1" x14ac:dyDescent="0.3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4.25" customHeight="1" x14ac:dyDescent="0.3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4.25" customHeight="1" x14ac:dyDescent="0.3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4.25" customHeight="1" x14ac:dyDescent="0.3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4.25" customHeight="1" x14ac:dyDescent="0.3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4.25" customHeight="1" x14ac:dyDescent="0.3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4.25" customHeight="1" x14ac:dyDescent="0.3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4.25" customHeight="1" x14ac:dyDescent="0.3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4.25" customHeight="1" x14ac:dyDescent="0.3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4.25" customHeight="1" x14ac:dyDescent="0.3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4.25" customHeight="1" x14ac:dyDescent="0.3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4.25" customHeight="1" x14ac:dyDescent="0.3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4.25" customHeight="1" x14ac:dyDescent="0.3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4.25" customHeight="1" x14ac:dyDescent="0.3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4.25" customHeight="1" x14ac:dyDescent="0.3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4.25" customHeight="1" x14ac:dyDescent="0.3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4.25" customHeight="1" x14ac:dyDescent="0.3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4.25" customHeight="1" x14ac:dyDescent="0.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4.25" customHeight="1" x14ac:dyDescent="0.3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4.25" customHeight="1" x14ac:dyDescent="0.3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4.25" customHeight="1" x14ac:dyDescent="0.3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4.25" customHeight="1" x14ac:dyDescent="0.3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4.25" customHeight="1" x14ac:dyDescent="0.3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4.25" customHeight="1" x14ac:dyDescent="0.3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4.25" customHeight="1" x14ac:dyDescent="0.3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4.25" customHeight="1" x14ac:dyDescent="0.3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4.25" customHeight="1" x14ac:dyDescent="0.3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4.25" customHeight="1" x14ac:dyDescent="0.3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4.25" customHeight="1" x14ac:dyDescent="0.3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4.25" customHeight="1" x14ac:dyDescent="0.3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4.25" customHeight="1" x14ac:dyDescent="0.3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4.25" customHeight="1" x14ac:dyDescent="0.3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4.25" customHeight="1" x14ac:dyDescent="0.3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4.25" customHeight="1" x14ac:dyDescent="0.3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4.25" customHeight="1" x14ac:dyDescent="0.3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4.25" customHeight="1" x14ac:dyDescent="0.3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4.25" customHeight="1" x14ac:dyDescent="0.3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4.25" customHeight="1" x14ac:dyDescent="0.3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4.25" customHeight="1" x14ac:dyDescent="0.3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4.25" customHeight="1" x14ac:dyDescent="0.3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4.25" customHeight="1" x14ac:dyDescent="0.3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4.25" customHeight="1" x14ac:dyDescent="0.3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4.25" customHeight="1" x14ac:dyDescent="0.3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4.25" customHeight="1" x14ac:dyDescent="0.3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4.25" customHeight="1" x14ac:dyDescent="0.3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4.25" customHeight="1" x14ac:dyDescent="0.3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4.25" customHeight="1" x14ac:dyDescent="0.3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4.25" customHeight="1" x14ac:dyDescent="0.3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4.25" customHeight="1" x14ac:dyDescent="0.3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4.25" customHeight="1" x14ac:dyDescent="0.3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4.25" customHeight="1" x14ac:dyDescent="0.3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4.25" customHeight="1" x14ac:dyDescent="0.3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4.25" customHeight="1" x14ac:dyDescent="0.3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4.25" customHeight="1" x14ac:dyDescent="0.3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4.25" customHeight="1" x14ac:dyDescent="0.3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4.25" customHeight="1" x14ac:dyDescent="0.3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4.25" customHeight="1" x14ac:dyDescent="0.3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4.25" customHeight="1" x14ac:dyDescent="0.3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4.25" customHeight="1" x14ac:dyDescent="0.3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4.25" customHeight="1" x14ac:dyDescent="0.3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4.25" customHeight="1" x14ac:dyDescent="0.3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4.25" customHeight="1" x14ac:dyDescent="0.3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4.25" customHeight="1" x14ac:dyDescent="0.3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4.25" customHeight="1" x14ac:dyDescent="0.3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4.25" customHeight="1" x14ac:dyDescent="0.3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4.25" customHeight="1" x14ac:dyDescent="0.3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4.25" customHeight="1" x14ac:dyDescent="0.3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4.25" customHeight="1" x14ac:dyDescent="0.3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4.25" customHeight="1" x14ac:dyDescent="0.3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4.25" customHeight="1" x14ac:dyDescent="0.3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4.25" customHeight="1" x14ac:dyDescent="0.3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4.25" customHeight="1" x14ac:dyDescent="0.3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4.25" customHeight="1" x14ac:dyDescent="0.3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4.25" customHeight="1" x14ac:dyDescent="0.3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4.25" customHeight="1" x14ac:dyDescent="0.3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4.25" customHeight="1" x14ac:dyDescent="0.3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4.25" customHeight="1" x14ac:dyDescent="0.3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4.25" customHeight="1" x14ac:dyDescent="0.3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4.25" customHeight="1" x14ac:dyDescent="0.3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4.25" customHeight="1" x14ac:dyDescent="0.3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4.25" customHeight="1" x14ac:dyDescent="0.3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4.25" customHeight="1" x14ac:dyDescent="0.3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4.25" customHeight="1" x14ac:dyDescent="0.3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4.25" customHeight="1" x14ac:dyDescent="0.3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4.25" customHeight="1" x14ac:dyDescent="0.3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4.25" customHeight="1" x14ac:dyDescent="0.3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4.25" customHeight="1" x14ac:dyDescent="0.3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4.25" customHeight="1" x14ac:dyDescent="0.3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4.25" customHeight="1" x14ac:dyDescent="0.3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4.25" customHeight="1" x14ac:dyDescent="0.3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4.25" customHeight="1" x14ac:dyDescent="0.3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4.25" customHeight="1" x14ac:dyDescent="0.3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4.25" customHeight="1" x14ac:dyDescent="0.3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4.25" customHeight="1" x14ac:dyDescent="0.3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4.25" customHeight="1" x14ac:dyDescent="0.3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4.25" customHeight="1" x14ac:dyDescent="0.3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4.25" customHeight="1" x14ac:dyDescent="0.3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4.25" customHeight="1" x14ac:dyDescent="0.3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4.25" customHeight="1" x14ac:dyDescent="0.3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4.25" customHeight="1" x14ac:dyDescent="0.3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4.25" customHeight="1" x14ac:dyDescent="0.3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4.25" customHeight="1" x14ac:dyDescent="0.3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4.25" customHeight="1" x14ac:dyDescent="0.3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4.25" customHeight="1" x14ac:dyDescent="0.3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4.25" customHeight="1" x14ac:dyDescent="0.3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4.25" customHeight="1" x14ac:dyDescent="0.3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4.25" customHeight="1" x14ac:dyDescent="0.3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4.25" customHeight="1" x14ac:dyDescent="0.3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4.25" customHeight="1" x14ac:dyDescent="0.3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4.25" customHeight="1" x14ac:dyDescent="0.3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4.25" customHeight="1" x14ac:dyDescent="0.3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4.25" customHeight="1" x14ac:dyDescent="0.3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4.25" customHeight="1" x14ac:dyDescent="0.3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4.25" customHeight="1" x14ac:dyDescent="0.3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4.25" customHeight="1" x14ac:dyDescent="0.3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4.25" customHeight="1" x14ac:dyDescent="0.3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4.25" customHeight="1" x14ac:dyDescent="0.3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4.25" customHeight="1" x14ac:dyDescent="0.3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4.25" customHeight="1" x14ac:dyDescent="0.3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4.25" customHeight="1" x14ac:dyDescent="0.3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4.25" customHeight="1" x14ac:dyDescent="0.3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4.25" customHeight="1" x14ac:dyDescent="0.3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4.25" customHeight="1" x14ac:dyDescent="0.3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4.25" customHeight="1" x14ac:dyDescent="0.3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4.25" customHeight="1" x14ac:dyDescent="0.3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4.25" customHeight="1" x14ac:dyDescent="0.3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4.25" customHeight="1" x14ac:dyDescent="0.3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4.25" customHeight="1" x14ac:dyDescent="0.3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4.25" customHeight="1" x14ac:dyDescent="0.3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4.25" customHeight="1" x14ac:dyDescent="0.3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4.25" customHeight="1" x14ac:dyDescent="0.3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4.25" customHeight="1" x14ac:dyDescent="0.3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4.25" customHeight="1" x14ac:dyDescent="0.3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4.25" customHeight="1" x14ac:dyDescent="0.3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4.25" customHeight="1" x14ac:dyDescent="0.3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4.25" customHeight="1" x14ac:dyDescent="0.3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4.25" customHeight="1" x14ac:dyDescent="0.3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4.25" customHeight="1" x14ac:dyDescent="0.3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4.25" customHeight="1" x14ac:dyDescent="0.3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4.25" customHeight="1" x14ac:dyDescent="0.3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4.25" customHeight="1" x14ac:dyDescent="0.3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4.25" customHeight="1" x14ac:dyDescent="0.3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4.25" customHeight="1" x14ac:dyDescent="0.3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4.25" customHeight="1" x14ac:dyDescent="0.3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4.25" customHeight="1" x14ac:dyDescent="0.3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4.25" customHeight="1" x14ac:dyDescent="0.3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4.25" customHeight="1" x14ac:dyDescent="0.3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4.25" customHeight="1" x14ac:dyDescent="0.3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4.25" customHeight="1" x14ac:dyDescent="0.3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4.25" customHeight="1" x14ac:dyDescent="0.3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4.25" customHeight="1" x14ac:dyDescent="0.3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4.25" customHeight="1" x14ac:dyDescent="0.3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4.25" customHeight="1" x14ac:dyDescent="0.3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4.25" customHeight="1" x14ac:dyDescent="0.3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4.25" customHeight="1" x14ac:dyDescent="0.3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4.25" customHeight="1" x14ac:dyDescent="0.3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4.25" customHeight="1" x14ac:dyDescent="0.3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4.25" customHeight="1" x14ac:dyDescent="0.3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4.25" customHeight="1" x14ac:dyDescent="0.3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4.25" customHeight="1" x14ac:dyDescent="0.3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4.25" customHeight="1" x14ac:dyDescent="0.3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4.25" customHeight="1" x14ac:dyDescent="0.3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4.25" customHeight="1" x14ac:dyDescent="0.3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4.25" customHeight="1" x14ac:dyDescent="0.3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4.25" customHeight="1" x14ac:dyDescent="0.3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4.25" customHeight="1" x14ac:dyDescent="0.3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4.25" customHeight="1" x14ac:dyDescent="0.3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4.25" customHeight="1" x14ac:dyDescent="0.3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4.25" customHeight="1" x14ac:dyDescent="0.3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4.25" customHeight="1" x14ac:dyDescent="0.3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4.25" customHeight="1" x14ac:dyDescent="0.3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4.25" customHeight="1" x14ac:dyDescent="0.3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4.25" customHeight="1" x14ac:dyDescent="0.3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4.25" customHeight="1" x14ac:dyDescent="0.3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4.25" customHeight="1" x14ac:dyDescent="0.3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4.25" customHeight="1" x14ac:dyDescent="0.3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4.25" customHeight="1" x14ac:dyDescent="0.3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4.25" customHeight="1" x14ac:dyDescent="0.3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4.25" customHeight="1" x14ac:dyDescent="0.3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4.25" customHeight="1" x14ac:dyDescent="0.3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4.25" customHeight="1" x14ac:dyDescent="0.3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4.25" customHeight="1" x14ac:dyDescent="0.3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4.25" customHeight="1" x14ac:dyDescent="0.3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4.25" customHeight="1" x14ac:dyDescent="0.3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4.25" customHeight="1" x14ac:dyDescent="0.3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4.25" customHeight="1" x14ac:dyDescent="0.3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4.25" customHeight="1" x14ac:dyDescent="0.3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4.25" customHeight="1" x14ac:dyDescent="0.3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4.25" customHeight="1" x14ac:dyDescent="0.3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4.25" customHeight="1" x14ac:dyDescent="0.3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4.25" customHeight="1" x14ac:dyDescent="0.3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4.25" customHeight="1" x14ac:dyDescent="0.3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4.25" customHeight="1" x14ac:dyDescent="0.3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4.25" customHeight="1" x14ac:dyDescent="0.3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4.25" customHeight="1" x14ac:dyDescent="0.3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4.25" customHeight="1" x14ac:dyDescent="0.3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4.25" customHeight="1" x14ac:dyDescent="0.3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4.25" customHeight="1" x14ac:dyDescent="0.3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4.25" customHeight="1" x14ac:dyDescent="0.3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4.25" customHeight="1" x14ac:dyDescent="0.3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4.25" customHeight="1" x14ac:dyDescent="0.3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4.25" customHeight="1" x14ac:dyDescent="0.3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4.25" customHeight="1" x14ac:dyDescent="0.3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4.25" customHeight="1" x14ac:dyDescent="0.3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4.25" customHeight="1" x14ac:dyDescent="0.3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4.25" customHeight="1" x14ac:dyDescent="0.3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4.25" customHeight="1" x14ac:dyDescent="0.3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4.25" customHeight="1" x14ac:dyDescent="0.3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4.25" customHeight="1" x14ac:dyDescent="0.3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4.25" customHeight="1" x14ac:dyDescent="0.3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4.25" customHeight="1" x14ac:dyDescent="0.3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4.25" customHeight="1" x14ac:dyDescent="0.3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4.25" customHeight="1" x14ac:dyDescent="0.3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4.25" customHeight="1" x14ac:dyDescent="0.3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4.25" customHeight="1" x14ac:dyDescent="0.3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4.25" customHeight="1" x14ac:dyDescent="0.3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4.25" customHeight="1" x14ac:dyDescent="0.3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4.25" customHeight="1" x14ac:dyDescent="0.3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4.25" customHeight="1" x14ac:dyDescent="0.3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4.25" customHeight="1" x14ac:dyDescent="0.3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4.25" customHeight="1" x14ac:dyDescent="0.3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4.25" customHeight="1" x14ac:dyDescent="0.3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4.25" customHeight="1" x14ac:dyDescent="0.3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4.25" customHeight="1" x14ac:dyDescent="0.3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4.25" customHeight="1" x14ac:dyDescent="0.3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4.25" customHeight="1" x14ac:dyDescent="0.3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4.25" customHeight="1" x14ac:dyDescent="0.3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4.25" customHeight="1" x14ac:dyDescent="0.3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4.25" customHeight="1" x14ac:dyDescent="0.3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4.25" customHeight="1" x14ac:dyDescent="0.3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4.25" customHeight="1" x14ac:dyDescent="0.3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4.25" customHeight="1" x14ac:dyDescent="0.3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4.25" customHeight="1" x14ac:dyDescent="0.3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4.25" customHeight="1" x14ac:dyDescent="0.3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4.25" customHeight="1" x14ac:dyDescent="0.3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4.25" customHeight="1" x14ac:dyDescent="0.3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4.25" customHeight="1" x14ac:dyDescent="0.3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4.25" customHeight="1" x14ac:dyDescent="0.3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4.25" customHeight="1" x14ac:dyDescent="0.3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4.25" customHeight="1" x14ac:dyDescent="0.3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4.25" customHeight="1" x14ac:dyDescent="0.3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4.25" customHeight="1" x14ac:dyDescent="0.3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4.25" customHeight="1" x14ac:dyDescent="0.3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4.25" customHeight="1" x14ac:dyDescent="0.3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4.25" customHeight="1" x14ac:dyDescent="0.3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4.25" customHeight="1" x14ac:dyDescent="0.3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4.25" customHeight="1" x14ac:dyDescent="0.3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4.25" customHeight="1" x14ac:dyDescent="0.3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4.25" customHeight="1" x14ac:dyDescent="0.3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4.25" customHeight="1" x14ac:dyDescent="0.3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4.25" customHeight="1" x14ac:dyDescent="0.3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4.25" customHeight="1" x14ac:dyDescent="0.3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4.25" customHeight="1" x14ac:dyDescent="0.3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4.25" customHeight="1" x14ac:dyDescent="0.3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4.25" customHeight="1" x14ac:dyDescent="0.3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4.25" customHeight="1" x14ac:dyDescent="0.3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4.25" customHeight="1" x14ac:dyDescent="0.3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4.25" customHeight="1" x14ac:dyDescent="0.3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4.25" customHeight="1" x14ac:dyDescent="0.3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4.25" customHeight="1" x14ac:dyDescent="0.3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4.25" customHeight="1" x14ac:dyDescent="0.3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4.25" customHeight="1" x14ac:dyDescent="0.3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4.25" customHeight="1" x14ac:dyDescent="0.3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4.25" customHeight="1" x14ac:dyDescent="0.3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4.25" customHeight="1" x14ac:dyDescent="0.3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4.25" customHeight="1" x14ac:dyDescent="0.3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4.25" customHeight="1" x14ac:dyDescent="0.3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4.25" customHeight="1" x14ac:dyDescent="0.3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4.25" customHeight="1" x14ac:dyDescent="0.3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4.25" customHeight="1" x14ac:dyDescent="0.3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4.25" customHeight="1" x14ac:dyDescent="0.3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4.25" customHeight="1" x14ac:dyDescent="0.3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4.25" customHeight="1" x14ac:dyDescent="0.3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4.25" customHeight="1" x14ac:dyDescent="0.3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4.25" customHeight="1" x14ac:dyDescent="0.3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4.25" customHeight="1" x14ac:dyDescent="0.3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4.25" customHeight="1" x14ac:dyDescent="0.3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4.25" customHeight="1" x14ac:dyDescent="0.3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4.25" customHeight="1" x14ac:dyDescent="0.3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4.25" customHeight="1" x14ac:dyDescent="0.3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4.25" customHeight="1" x14ac:dyDescent="0.3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4.25" customHeight="1" x14ac:dyDescent="0.3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4.25" customHeight="1" x14ac:dyDescent="0.3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4.25" customHeight="1" x14ac:dyDescent="0.3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4.25" customHeight="1" x14ac:dyDescent="0.3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4.25" customHeight="1" x14ac:dyDescent="0.3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4.25" customHeight="1" x14ac:dyDescent="0.3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4.25" customHeight="1" x14ac:dyDescent="0.3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4.25" customHeight="1" x14ac:dyDescent="0.3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4.25" customHeight="1" x14ac:dyDescent="0.3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4.25" customHeight="1" x14ac:dyDescent="0.3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4.25" customHeight="1" x14ac:dyDescent="0.3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4.25" customHeight="1" x14ac:dyDescent="0.3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4.25" customHeight="1" x14ac:dyDescent="0.3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4.25" customHeight="1" x14ac:dyDescent="0.3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4.25" customHeight="1" x14ac:dyDescent="0.3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4.25" customHeight="1" x14ac:dyDescent="0.3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4.25" customHeight="1" x14ac:dyDescent="0.3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4.25" customHeight="1" x14ac:dyDescent="0.3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4.25" customHeight="1" x14ac:dyDescent="0.3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4.25" customHeight="1" x14ac:dyDescent="0.3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4.25" customHeight="1" x14ac:dyDescent="0.3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4.25" customHeight="1" x14ac:dyDescent="0.3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4.25" customHeight="1" x14ac:dyDescent="0.3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4.25" customHeight="1" x14ac:dyDescent="0.3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4.25" customHeight="1" x14ac:dyDescent="0.3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4.25" customHeight="1" x14ac:dyDescent="0.3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4.25" customHeight="1" x14ac:dyDescent="0.3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4.25" customHeight="1" x14ac:dyDescent="0.3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4.25" customHeight="1" x14ac:dyDescent="0.3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4.25" customHeight="1" x14ac:dyDescent="0.3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4.25" customHeight="1" x14ac:dyDescent="0.3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4.25" customHeight="1" x14ac:dyDescent="0.3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4.25" customHeight="1" x14ac:dyDescent="0.3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4.25" customHeight="1" x14ac:dyDescent="0.3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4.25" customHeight="1" x14ac:dyDescent="0.3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4.25" customHeight="1" x14ac:dyDescent="0.3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4.25" customHeight="1" x14ac:dyDescent="0.3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4.25" customHeight="1" x14ac:dyDescent="0.3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4.25" customHeight="1" x14ac:dyDescent="0.3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4.25" customHeight="1" x14ac:dyDescent="0.3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4.25" customHeight="1" x14ac:dyDescent="0.3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4.25" customHeight="1" x14ac:dyDescent="0.3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4.25" customHeight="1" x14ac:dyDescent="0.3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4.25" customHeight="1" x14ac:dyDescent="0.3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4.25" customHeight="1" x14ac:dyDescent="0.3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4.25" customHeight="1" x14ac:dyDescent="0.3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4.25" customHeight="1" x14ac:dyDescent="0.3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4.25" customHeight="1" x14ac:dyDescent="0.3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4.25" customHeight="1" x14ac:dyDescent="0.3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4.25" customHeight="1" x14ac:dyDescent="0.3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4.25" customHeight="1" x14ac:dyDescent="0.3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4.25" customHeight="1" x14ac:dyDescent="0.3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4.25" customHeight="1" x14ac:dyDescent="0.3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4.25" customHeight="1" x14ac:dyDescent="0.3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4.25" customHeight="1" x14ac:dyDescent="0.3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4.25" customHeight="1" x14ac:dyDescent="0.3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4.25" customHeight="1" x14ac:dyDescent="0.3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4.25" customHeight="1" x14ac:dyDescent="0.3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4.25" customHeight="1" x14ac:dyDescent="0.3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4.25" customHeight="1" x14ac:dyDescent="0.3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4.25" customHeight="1" x14ac:dyDescent="0.3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4.25" customHeight="1" x14ac:dyDescent="0.3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4.25" customHeight="1" x14ac:dyDescent="0.3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4.25" customHeight="1" x14ac:dyDescent="0.3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4.25" customHeight="1" x14ac:dyDescent="0.3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4.25" customHeight="1" x14ac:dyDescent="0.3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4.25" customHeight="1" x14ac:dyDescent="0.3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4.25" customHeight="1" x14ac:dyDescent="0.3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4.25" customHeight="1" x14ac:dyDescent="0.3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4.25" customHeight="1" x14ac:dyDescent="0.3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4.25" customHeight="1" x14ac:dyDescent="0.3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4.25" customHeight="1" x14ac:dyDescent="0.3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4.25" customHeight="1" x14ac:dyDescent="0.3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4.25" customHeight="1" x14ac:dyDescent="0.3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4.25" customHeight="1" x14ac:dyDescent="0.3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4.25" customHeight="1" x14ac:dyDescent="0.3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4.25" customHeight="1" x14ac:dyDescent="0.3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4.25" customHeight="1" x14ac:dyDescent="0.3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4.25" customHeight="1" x14ac:dyDescent="0.3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4.25" customHeight="1" x14ac:dyDescent="0.3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4.25" customHeight="1" x14ac:dyDescent="0.3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4.25" customHeight="1" x14ac:dyDescent="0.3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4.25" customHeight="1" x14ac:dyDescent="0.3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4.25" customHeight="1" x14ac:dyDescent="0.3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4.25" customHeight="1" x14ac:dyDescent="0.3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4.25" customHeight="1" x14ac:dyDescent="0.3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4.25" customHeight="1" x14ac:dyDescent="0.3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4.25" customHeight="1" x14ac:dyDescent="0.3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4.25" customHeight="1" x14ac:dyDescent="0.3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4.25" customHeight="1" x14ac:dyDescent="0.3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4.25" customHeight="1" x14ac:dyDescent="0.3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4.25" customHeight="1" x14ac:dyDescent="0.3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4.25" customHeight="1" x14ac:dyDescent="0.3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4.25" customHeight="1" x14ac:dyDescent="0.3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4.25" customHeight="1" x14ac:dyDescent="0.3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4.25" customHeight="1" x14ac:dyDescent="0.3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4.25" customHeight="1" x14ac:dyDescent="0.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4.25" customHeight="1" x14ac:dyDescent="0.3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4.25" customHeight="1" x14ac:dyDescent="0.3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4.25" customHeight="1" x14ac:dyDescent="0.3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4.25" customHeight="1" x14ac:dyDescent="0.3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4.25" customHeight="1" x14ac:dyDescent="0.3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4.25" customHeight="1" x14ac:dyDescent="0.3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4.25" customHeight="1" x14ac:dyDescent="0.3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4.25" customHeight="1" x14ac:dyDescent="0.3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4.25" customHeight="1" x14ac:dyDescent="0.3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4.25" customHeight="1" x14ac:dyDescent="0.3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4.25" customHeight="1" x14ac:dyDescent="0.3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4.25" customHeight="1" x14ac:dyDescent="0.3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4.25" customHeight="1" x14ac:dyDescent="0.3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4.25" customHeight="1" x14ac:dyDescent="0.3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4.25" customHeight="1" x14ac:dyDescent="0.3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4.25" customHeight="1" x14ac:dyDescent="0.3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4.25" customHeight="1" x14ac:dyDescent="0.3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4.25" customHeight="1" x14ac:dyDescent="0.3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4.25" customHeight="1" x14ac:dyDescent="0.3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4.25" customHeight="1" x14ac:dyDescent="0.3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4.25" customHeight="1" x14ac:dyDescent="0.3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4.25" customHeight="1" x14ac:dyDescent="0.3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4.25" customHeight="1" x14ac:dyDescent="0.3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4.25" customHeight="1" x14ac:dyDescent="0.3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4.25" customHeight="1" x14ac:dyDescent="0.3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4.25" customHeight="1" x14ac:dyDescent="0.3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4.25" customHeight="1" x14ac:dyDescent="0.3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4.25" customHeight="1" x14ac:dyDescent="0.3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4.25" customHeight="1" x14ac:dyDescent="0.3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4.25" customHeight="1" x14ac:dyDescent="0.3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4.25" customHeight="1" x14ac:dyDescent="0.3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4.25" customHeight="1" x14ac:dyDescent="0.3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4.25" customHeight="1" x14ac:dyDescent="0.3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4.25" customHeight="1" x14ac:dyDescent="0.3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4.25" customHeight="1" x14ac:dyDescent="0.3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4.25" customHeight="1" x14ac:dyDescent="0.3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4.25" customHeight="1" x14ac:dyDescent="0.3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4.25" customHeight="1" x14ac:dyDescent="0.3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4.25" customHeight="1" x14ac:dyDescent="0.3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4.25" customHeight="1" x14ac:dyDescent="0.3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4.25" customHeight="1" x14ac:dyDescent="0.3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4.25" customHeight="1" x14ac:dyDescent="0.3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4.25" customHeight="1" x14ac:dyDescent="0.3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4.25" customHeight="1" x14ac:dyDescent="0.3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4.25" customHeight="1" x14ac:dyDescent="0.3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4.25" customHeight="1" x14ac:dyDescent="0.3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4.25" customHeight="1" x14ac:dyDescent="0.3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4.25" customHeight="1" x14ac:dyDescent="0.3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4.25" customHeight="1" x14ac:dyDescent="0.3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4.25" customHeight="1" x14ac:dyDescent="0.3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4.25" customHeight="1" x14ac:dyDescent="0.3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4.25" customHeight="1" x14ac:dyDescent="0.3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4.25" customHeight="1" x14ac:dyDescent="0.3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4.25" customHeight="1" x14ac:dyDescent="0.3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4.25" customHeight="1" x14ac:dyDescent="0.3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4.25" customHeight="1" x14ac:dyDescent="0.3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4.25" customHeight="1" x14ac:dyDescent="0.3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4.25" customHeight="1" x14ac:dyDescent="0.3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4.25" customHeight="1" x14ac:dyDescent="0.3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4.25" customHeight="1" x14ac:dyDescent="0.3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4.25" customHeight="1" x14ac:dyDescent="0.3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4.25" customHeight="1" x14ac:dyDescent="0.3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4.25" customHeight="1" x14ac:dyDescent="0.3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4.25" customHeight="1" x14ac:dyDescent="0.3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4.25" customHeight="1" x14ac:dyDescent="0.3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4.25" customHeight="1" x14ac:dyDescent="0.3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4.25" customHeight="1" x14ac:dyDescent="0.3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4.25" customHeight="1" x14ac:dyDescent="0.3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4.25" customHeight="1" x14ac:dyDescent="0.3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4.25" customHeight="1" x14ac:dyDescent="0.3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4.25" customHeight="1" x14ac:dyDescent="0.3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4.25" customHeight="1" x14ac:dyDescent="0.3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4.25" customHeight="1" x14ac:dyDescent="0.3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4.25" customHeight="1" x14ac:dyDescent="0.3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4.25" customHeight="1" x14ac:dyDescent="0.3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4.25" customHeight="1" x14ac:dyDescent="0.3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4.25" customHeight="1" x14ac:dyDescent="0.3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4.25" customHeight="1" x14ac:dyDescent="0.3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4.25" customHeight="1" x14ac:dyDescent="0.3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4.25" customHeight="1" x14ac:dyDescent="0.3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4.25" customHeight="1" x14ac:dyDescent="0.3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4.25" customHeight="1" x14ac:dyDescent="0.3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4.25" customHeight="1" x14ac:dyDescent="0.3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4.25" customHeight="1" x14ac:dyDescent="0.3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4.25" customHeight="1" x14ac:dyDescent="0.3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4.25" customHeight="1" x14ac:dyDescent="0.3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4.25" customHeight="1" x14ac:dyDescent="0.3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4.25" customHeight="1" x14ac:dyDescent="0.3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4.25" customHeight="1" x14ac:dyDescent="0.3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4.25" customHeight="1" x14ac:dyDescent="0.3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4.25" customHeight="1" x14ac:dyDescent="0.3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4.25" customHeight="1" x14ac:dyDescent="0.3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4.25" customHeight="1" x14ac:dyDescent="0.3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4.25" customHeight="1" x14ac:dyDescent="0.3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4.25" customHeight="1" x14ac:dyDescent="0.3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4.25" customHeight="1" x14ac:dyDescent="0.3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4.25" customHeight="1" x14ac:dyDescent="0.3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4.25" customHeight="1" x14ac:dyDescent="0.3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4.25" customHeight="1" x14ac:dyDescent="0.3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4.25" customHeight="1" x14ac:dyDescent="0.3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4.25" customHeight="1" x14ac:dyDescent="0.3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4.25" customHeight="1" x14ac:dyDescent="0.3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4.25" customHeight="1" x14ac:dyDescent="0.3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4.25" customHeight="1" x14ac:dyDescent="0.3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4.25" customHeight="1" x14ac:dyDescent="0.3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4.25" customHeight="1" x14ac:dyDescent="0.3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4.25" customHeight="1" x14ac:dyDescent="0.3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4.25" customHeight="1" x14ac:dyDescent="0.3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4.25" customHeight="1" x14ac:dyDescent="0.3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4.25" customHeight="1" x14ac:dyDescent="0.3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4.25" customHeight="1" x14ac:dyDescent="0.3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4.25" customHeight="1" x14ac:dyDescent="0.3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4.25" customHeight="1" x14ac:dyDescent="0.3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4.25" customHeight="1" x14ac:dyDescent="0.3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4.25" customHeight="1" x14ac:dyDescent="0.3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4.25" customHeight="1" x14ac:dyDescent="0.3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4.25" customHeight="1" x14ac:dyDescent="0.3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4.25" customHeight="1" x14ac:dyDescent="0.3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4.25" customHeight="1" x14ac:dyDescent="0.3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4.25" customHeight="1" x14ac:dyDescent="0.3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4.25" customHeight="1" x14ac:dyDescent="0.3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4.25" customHeight="1" x14ac:dyDescent="0.3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4.25" customHeight="1" x14ac:dyDescent="0.3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4.25" customHeight="1" x14ac:dyDescent="0.3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4.25" customHeight="1" x14ac:dyDescent="0.3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4.25" customHeight="1" x14ac:dyDescent="0.3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4.25" customHeight="1" x14ac:dyDescent="0.3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4.25" customHeight="1" x14ac:dyDescent="0.3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4.25" customHeight="1" x14ac:dyDescent="0.3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4.25" customHeight="1" x14ac:dyDescent="0.3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4.25" customHeight="1" x14ac:dyDescent="0.3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4.25" customHeight="1" x14ac:dyDescent="0.3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4.25" customHeight="1" x14ac:dyDescent="0.3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4.25" customHeight="1" x14ac:dyDescent="0.3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4.25" customHeight="1" x14ac:dyDescent="0.3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4.25" customHeight="1" x14ac:dyDescent="0.3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4.25" customHeight="1" x14ac:dyDescent="0.3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4.25" customHeight="1" x14ac:dyDescent="0.3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4.25" customHeight="1" x14ac:dyDescent="0.3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4.25" customHeight="1" x14ac:dyDescent="0.3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4.25" customHeight="1" x14ac:dyDescent="0.3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4.25" customHeight="1" x14ac:dyDescent="0.3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4.25" customHeight="1" x14ac:dyDescent="0.3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4.25" customHeight="1" x14ac:dyDescent="0.3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4.25" customHeight="1" x14ac:dyDescent="0.3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4.25" customHeight="1" x14ac:dyDescent="0.3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4.25" customHeight="1" x14ac:dyDescent="0.3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4.25" customHeight="1" x14ac:dyDescent="0.3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4.25" customHeight="1" x14ac:dyDescent="0.3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4.25" customHeight="1" x14ac:dyDescent="0.3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4.25" customHeight="1" x14ac:dyDescent="0.3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4.25" customHeight="1" x14ac:dyDescent="0.3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4.25" customHeight="1" x14ac:dyDescent="0.3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4.25" customHeight="1" x14ac:dyDescent="0.3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4.25" customHeight="1" x14ac:dyDescent="0.3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4.25" customHeight="1" x14ac:dyDescent="0.3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4.25" customHeight="1" x14ac:dyDescent="0.3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4.25" customHeight="1" x14ac:dyDescent="0.3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4.25" customHeight="1" x14ac:dyDescent="0.3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4.25" customHeight="1" x14ac:dyDescent="0.3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4.25" customHeight="1" x14ac:dyDescent="0.3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4.25" customHeight="1" x14ac:dyDescent="0.3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4.25" customHeight="1" x14ac:dyDescent="0.3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4.25" customHeight="1" x14ac:dyDescent="0.3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4.25" customHeight="1" x14ac:dyDescent="0.3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4.25" customHeight="1" x14ac:dyDescent="0.3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4.25" customHeight="1" x14ac:dyDescent="0.3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4.25" customHeight="1" x14ac:dyDescent="0.3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4.25" customHeight="1" x14ac:dyDescent="0.3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4.25" customHeight="1" x14ac:dyDescent="0.3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4.25" customHeight="1" x14ac:dyDescent="0.3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4.25" customHeight="1" x14ac:dyDescent="0.3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4.25" customHeight="1" x14ac:dyDescent="0.3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4.25" customHeight="1" x14ac:dyDescent="0.3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4.25" customHeight="1" x14ac:dyDescent="0.3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4.25" customHeight="1" x14ac:dyDescent="0.3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4.25" customHeight="1" x14ac:dyDescent="0.3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4.25" customHeight="1" x14ac:dyDescent="0.3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4.25" customHeight="1" x14ac:dyDescent="0.3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4.25" customHeight="1" x14ac:dyDescent="0.3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4.25" customHeight="1" x14ac:dyDescent="0.3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4.25" customHeight="1" x14ac:dyDescent="0.3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4.25" customHeight="1" x14ac:dyDescent="0.3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4.25" customHeight="1" x14ac:dyDescent="0.3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4.25" customHeight="1" x14ac:dyDescent="0.3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4.25" customHeight="1" x14ac:dyDescent="0.3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4.25" customHeight="1" x14ac:dyDescent="0.3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4.25" customHeight="1" x14ac:dyDescent="0.3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4.25" customHeight="1" x14ac:dyDescent="0.3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4.25" customHeight="1" x14ac:dyDescent="0.3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4.25" customHeight="1" x14ac:dyDescent="0.3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4.25" customHeight="1" x14ac:dyDescent="0.3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4.25" customHeight="1" x14ac:dyDescent="0.3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4.25" customHeight="1" x14ac:dyDescent="0.3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4.25" customHeight="1" x14ac:dyDescent="0.3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4.25" customHeight="1" x14ac:dyDescent="0.3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4.25" customHeight="1" x14ac:dyDescent="0.3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4.25" customHeight="1" x14ac:dyDescent="0.3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4.25" customHeight="1" x14ac:dyDescent="0.3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4.25" customHeight="1" x14ac:dyDescent="0.3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4.25" customHeight="1" x14ac:dyDescent="0.3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4.25" customHeight="1" x14ac:dyDescent="0.3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4.25" customHeight="1" x14ac:dyDescent="0.3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4.25" customHeight="1" x14ac:dyDescent="0.3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4.25" customHeight="1" x14ac:dyDescent="0.3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4.25" customHeight="1" x14ac:dyDescent="0.3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4.25" customHeight="1" x14ac:dyDescent="0.3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4.25" customHeight="1" x14ac:dyDescent="0.3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4.25" customHeight="1" x14ac:dyDescent="0.3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4.25" customHeight="1" x14ac:dyDescent="0.3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4.25" customHeight="1" x14ac:dyDescent="0.3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4.25" customHeight="1" x14ac:dyDescent="0.3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4.25" customHeight="1" x14ac:dyDescent="0.3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4.25" customHeight="1" x14ac:dyDescent="0.3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4.25" customHeight="1" x14ac:dyDescent="0.3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4.25" customHeight="1" x14ac:dyDescent="0.3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4.25" customHeight="1" x14ac:dyDescent="0.3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4.25" customHeight="1" x14ac:dyDescent="0.3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4.25" customHeight="1" x14ac:dyDescent="0.3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4.25" customHeight="1" x14ac:dyDescent="0.3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4.25" customHeight="1" x14ac:dyDescent="0.3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4.25" customHeight="1" x14ac:dyDescent="0.3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4.25" customHeight="1" x14ac:dyDescent="0.3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4.25" customHeight="1" x14ac:dyDescent="0.3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4.25" customHeight="1" x14ac:dyDescent="0.3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4.25" customHeight="1" x14ac:dyDescent="0.3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4.25" customHeight="1" x14ac:dyDescent="0.3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4.25" customHeight="1" x14ac:dyDescent="0.3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4.25" customHeight="1" x14ac:dyDescent="0.3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4.25" customHeight="1" x14ac:dyDescent="0.3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4.25" customHeight="1" x14ac:dyDescent="0.3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4.25" customHeight="1" x14ac:dyDescent="0.3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4.25" customHeight="1" x14ac:dyDescent="0.3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4.25" customHeight="1" x14ac:dyDescent="0.3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4.25" customHeight="1" x14ac:dyDescent="0.3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4.25" customHeight="1" x14ac:dyDescent="0.3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4.25" customHeight="1" x14ac:dyDescent="0.3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4.25" customHeight="1" x14ac:dyDescent="0.3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4.25" customHeight="1" x14ac:dyDescent="0.3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4.25" customHeight="1" x14ac:dyDescent="0.3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4.25" customHeight="1" x14ac:dyDescent="0.3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4.25" customHeight="1" x14ac:dyDescent="0.3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4.25" customHeight="1" x14ac:dyDescent="0.3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4.25" customHeight="1" x14ac:dyDescent="0.3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4.25" customHeight="1" x14ac:dyDescent="0.3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4.25" customHeight="1" x14ac:dyDescent="0.3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4.25" customHeight="1" x14ac:dyDescent="0.3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4.25" customHeight="1" x14ac:dyDescent="0.3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4.25" customHeight="1" x14ac:dyDescent="0.3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4.25" customHeight="1" x14ac:dyDescent="0.3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4.25" customHeight="1" x14ac:dyDescent="0.3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4.25" customHeight="1" x14ac:dyDescent="0.3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4.25" customHeight="1" x14ac:dyDescent="0.3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4.25" customHeight="1" x14ac:dyDescent="0.3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4.25" customHeight="1" x14ac:dyDescent="0.3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4.25" customHeight="1" x14ac:dyDescent="0.3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4.25" customHeight="1" x14ac:dyDescent="0.3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4.25" customHeight="1" x14ac:dyDescent="0.3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4.25" customHeight="1" x14ac:dyDescent="0.3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4.25" customHeight="1" x14ac:dyDescent="0.3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4.25" customHeight="1" x14ac:dyDescent="0.3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4.25" customHeight="1" x14ac:dyDescent="0.3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4.25" customHeight="1" x14ac:dyDescent="0.3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4.25" customHeight="1" x14ac:dyDescent="0.3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4.25" customHeight="1" x14ac:dyDescent="0.3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4.25" customHeight="1" x14ac:dyDescent="0.3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4.25" customHeight="1" x14ac:dyDescent="0.3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4.25" customHeight="1" x14ac:dyDescent="0.3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4.25" customHeight="1" x14ac:dyDescent="0.3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4.25" customHeight="1" x14ac:dyDescent="0.3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4.25" customHeight="1" x14ac:dyDescent="0.3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4.25" customHeight="1" x14ac:dyDescent="0.3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4.25" customHeight="1" x14ac:dyDescent="0.3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4.25" customHeight="1" x14ac:dyDescent="0.3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4.25" customHeight="1" x14ac:dyDescent="0.3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4.25" customHeight="1" x14ac:dyDescent="0.3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4.25" customHeight="1" x14ac:dyDescent="0.3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4.25" customHeight="1" x14ac:dyDescent="0.3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4.25" customHeight="1" x14ac:dyDescent="0.3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4.25" customHeight="1" x14ac:dyDescent="0.3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4.25" customHeight="1" x14ac:dyDescent="0.3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4.25" customHeight="1" x14ac:dyDescent="0.3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4.25" customHeight="1" x14ac:dyDescent="0.3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4.25" customHeight="1" x14ac:dyDescent="0.3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4.25" customHeight="1" x14ac:dyDescent="0.3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4.25" customHeight="1" x14ac:dyDescent="0.3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4.25" customHeight="1" x14ac:dyDescent="0.3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4.25" customHeight="1" x14ac:dyDescent="0.3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4.25" customHeight="1" x14ac:dyDescent="0.3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4.25" customHeight="1" x14ac:dyDescent="0.3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4.25" customHeight="1" x14ac:dyDescent="0.3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4.25" customHeight="1" x14ac:dyDescent="0.3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4.25" customHeight="1" x14ac:dyDescent="0.3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4.25" customHeight="1" x14ac:dyDescent="0.3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4.25" customHeight="1" x14ac:dyDescent="0.3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4.25" customHeight="1" x14ac:dyDescent="0.3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4.25" customHeight="1" x14ac:dyDescent="0.3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4.25" customHeight="1" x14ac:dyDescent="0.3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4.25" customHeight="1" x14ac:dyDescent="0.3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4.25" customHeight="1" x14ac:dyDescent="0.3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4.25" customHeight="1" x14ac:dyDescent="0.3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4.25" customHeight="1" x14ac:dyDescent="0.3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4.25" customHeight="1" x14ac:dyDescent="0.3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4.25" customHeight="1" x14ac:dyDescent="0.3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4.25" customHeight="1" x14ac:dyDescent="0.3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4.25" customHeight="1" x14ac:dyDescent="0.3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4.25" customHeight="1" x14ac:dyDescent="0.3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4.25" customHeight="1" x14ac:dyDescent="0.3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4.25" customHeight="1" x14ac:dyDescent="0.3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4.25" customHeight="1" x14ac:dyDescent="0.3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4.25" customHeight="1" x14ac:dyDescent="0.3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4.25" customHeight="1" x14ac:dyDescent="0.3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4.25" customHeight="1" x14ac:dyDescent="0.3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4.25" customHeight="1" x14ac:dyDescent="0.3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4.25" customHeight="1" x14ac:dyDescent="0.3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4.25" customHeight="1" x14ac:dyDescent="0.3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4.25" customHeight="1" x14ac:dyDescent="0.3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4.25" customHeight="1" x14ac:dyDescent="0.3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4.25" customHeight="1" x14ac:dyDescent="0.3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4.25" customHeight="1" x14ac:dyDescent="0.3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4.25" customHeight="1" x14ac:dyDescent="0.3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4.25" customHeight="1" x14ac:dyDescent="0.3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4.25" customHeight="1" x14ac:dyDescent="0.3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4.25" customHeight="1" x14ac:dyDescent="0.3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4.25" customHeight="1" x14ac:dyDescent="0.3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4.25" customHeight="1" x14ac:dyDescent="0.3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4.25" customHeight="1" x14ac:dyDescent="0.3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4.25" customHeight="1" x14ac:dyDescent="0.3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4.25" customHeight="1" x14ac:dyDescent="0.3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4.25" customHeight="1" x14ac:dyDescent="0.3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4.25" customHeight="1" x14ac:dyDescent="0.3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4.25" customHeight="1" x14ac:dyDescent="0.3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4.25" customHeight="1" x14ac:dyDescent="0.3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4.25" customHeight="1" x14ac:dyDescent="0.3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4.25" customHeight="1" x14ac:dyDescent="0.3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4.25" customHeight="1" x14ac:dyDescent="0.3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4.25" customHeight="1" x14ac:dyDescent="0.3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autoFilter ref="B7:C7"/>
  <mergeCells count="3">
    <mergeCell ref="F2:M2"/>
    <mergeCell ref="J10:L10"/>
    <mergeCell ref="J11:L11"/>
  </mergeCells>
  <conditionalFormatting sqref="B8:C18 B24:C24 B36:C38 B43:C44 B48:C49 B51:C52 B54:C54 B60 B63:C63 C58 C60:C61 B65:C65 B67:C67 B71:C71 B75:C1000">
    <cfRule type="notContainsBlanks" dxfId="27" priority="7">
      <formula>LEN(TRIM(B8))&gt;0</formula>
    </cfRule>
  </conditionalFormatting>
  <conditionalFormatting sqref="B19:C22">
    <cfRule type="notContainsBlanks" dxfId="26" priority="8">
      <formula>LEN(TRIM(B19))&gt;0</formula>
    </cfRule>
  </conditionalFormatting>
  <conditionalFormatting sqref="B23:C23">
    <cfRule type="notContainsBlanks" dxfId="25" priority="9">
      <formula>LEN(TRIM(B23))&gt;0</formula>
    </cfRule>
  </conditionalFormatting>
  <conditionalFormatting sqref="B25:C25">
    <cfRule type="notContainsBlanks" dxfId="24" priority="10">
      <formula>LEN(TRIM(B25))&gt;0</formula>
    </cfRule>
  </conditionalFormatting>
  <conditionalFormatting sqref="B26:C34">
    <cfRule type="notContainsBlanks" dxfId="23" priority="11">
      <formula>LEN(TRIM(B26))&gt;0</formula>
    </cfRule>
  </conditionalFormatting>
  <conditionalFormatting sqref="B35:C35">
    <cfRule type="notContainsBlanks" dxfId="22" priority="12">
      <formula>LEN(TRIM(B35))&gt;0</formula>
    </cfRule>
  </conditionalFormatting>
  <conditionalFormatting sqref="B39:C39">
    <cfRule type="notContainsBlanks" dxfId="21" priority="13">
      <formula>LEN(TRIM(B39))&gt;0</formula>
    </cfRule>
  </conditionalFormatting>
  <conditionalFormatting sqref="B40:C40">
    <cfRule type="notContainsBlanks" dxfId="20" priority="14">
      <formula>LEN(TRIM(B40))&gt;0</formula>
    </cfRule>
  </conditionalFormatting>
  <conditionalFormatting sqref="B41:C41">
    <cfRule type="notContainsBlanks" dxfId="19" priority="15">
      <formula>LEN(TRIM(B41))&gt;0</formula>
    </cfRule>
  </conditionalFormatting>
  <conditionalFormatting sqref="B42:C42">
    <cfRule type="notContainsBlanks" dxfId="18" priority="16">
      <formula>LEN(TRIM(B42))&gt;0</formula>
    </cfRule>
  </conditionalFormatting>
  <conditionalFormatting sqref="B45:C47">
    <cfRule type="notContainsBlanks" dxfId="17" priority="17">
      <formula>LEN(TRIM(B45))&gt;0</formula>
    </cfRule>
  </conditionalFormatting>
  <conditionalFormatting sqref="B50:C50">
    <cfRule type="notContainsBlanks" dxfId="16" priority="18">
      <formula>LEN(TRIM(B50))&gt;0</formula>
    </cfRule>
  </conditionalFormatting>
  <conditionalFormatting sqref="B53:C53">
    <cfRule type="notContainsBlanks" dxfId="15" priority="19">
      <formula>LEN(TRIM(B53))&gt;0</formula>
    </cfRule>
  </conditionalFormatting>
  <conditionalFormatting sqref="B55:C55">
    <cfRule type="notContainsBlanks" dxfId="14" priority="20">
      <formula>LEN(TRIM(B55))&gt;0</formula>
    </cfRule>
  </conditionalFormatting>
  <conditionalFormatting sqref="B56:C57">
    <cfRule type="notContainsBlanks" dxfId="13" priority="21">
      <formula>LEN(TRIM(B56))&gt;0</formula>
    </cfRule>
  </conditionalFormatting>
  <conditionalFormatting sqref="B58">
    <cfRule type="notContainsBlanks" dxfId="12" priority="22">
      <formula>LEN(TRIM(B58))&gt;0</formula>
    </cfRule>
  </conditionalFormatting>
  <conditionalFormatting sqref="B59:C59">
    <cfRule type="notContainsBlanks" dxfId="11" priority="23">
      <formula>LEN(TRIM(B59))&gt;0</formula>
    </cfRule>
  </conditionalFormatting>
  <conditionalFormatting sqref="B61">
    <cfRule type="notContainsBlanks" dxfId="10" priority="24">
      <formula>LEN(TRIM(B61))&gt;0</formula>
    </cfRule>
  </conditionalFormatting>
  <conditionalFormatting sqref="B62:C62">
    <cfRule type="notContainsBlanks" dxfId="9" priority="25">
      <formula>LEN(TRIM(B62))&gt;0</formula>
    </cfRule>
  </conditionalFormatting>
  <conditionalFormatting sqref="B64">
    <cfRule type="notContainsBlanks" dxfId="8" priority="26">
      <formula>LEN(TRIM(B64))&gt;0</formula>
    </cfRule>
  </conditionalFormatting>
  <conditionalFormatting sqref="C64">
    <cfRule type="notContainsBlanks" dxfId="7" priority="27">
      <formula>LEN(TRIM(C64))&gt;0</formula>
    </cfRule>
  </conditionalFormatting>
  <conditionalFormatting sqref="B66:C66">
    <cfRule type="notContainsBlanks" dxfId="6" priority="6">
      <formula>LEN(TRIM(B66))&gt;0</formula>
    </cfRule>
  </conditionalFormatting>
  <conditionalFormatting sqref="B68:C68">
    <cfRule type="notContainsBlanks" dxfId="5" priority="5">
      <formula>LEN(TRIM(B68))&gt;0</formula>
    </cfRule>
  </conditionalFormatting>
  <conditionalFormatting sqref="B69:C69">
    <cfRule type="notContainsBlanks" dxfId="4" priority="4">
      <formula>LEN(TRIM(B69))&gt;0</formula>
    </cfRule>
  </conditionalFormatting>
  <conditionalFormatting sqref="B70:C70">
    <cfRule type="notContainsBlanks" dxfId="3" priority="3">
      <formula>LEN(TRIM(B70))&gt;0</formula>
    </cfRule>
  </conditionalFormatting>
  <conditionalFormatting sqref="B72:C72">
    <cfRule type="notContainsBlanks" dxfId="2" priority="2">
      <formula>LEN(TRIM(B72))&gt;0</formula>
    </cfRule>
  </conditionalFormatting>
  <conditionalFormatting sqref="B73:C74">
    <cfRule type="notContainsBlanks" dxfId="1" priority="1">
      <formula>LEN(TRIM(B73))&gt;0</formula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CH008</vt:lpstr>
      <vt:lpstr>Etat des stocks</vt:lpstr>
      <vt:lpstr>Base de donnée articles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</dc:creator>
  <cp:lastModifiedBy>EzeeGen</cp:lastModifiedBy>
  <dcterms:created xsi:type="dcterms:W3CDTF">2015-08-05T11:02:55Z</dcterms:created>
  <dcterms:modified xsi:type="dcterms:W3CDTF">2025-08-29T16:17:29Z</dcterms:modified>
</cp:coreProperties>
</file>