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zeeGen\Documents\03 - ITDEVTEAM\Marge\"/>
    </mc:Choice>
  </mc:AlternateContent>
  <bookViews>
    <workbookView xWindow="0" yWindow="0" windowWidth="23040" windowHeight="9072" firstSheet="1" activeTab="2"/>
  </bookViews>
  <sheets>
    <sheet name="Repartition des sociétés" sheetId="16" r:id="rId1"/>
    <sheet name="Charge" sheetId="15" r:id="rId2"/>
    <sheet name="Synthèse 2025" sheetId="13" r:id="rId3"/>
    <sheet name="Janvier" sheetId="4" r:id="rId4"/>
    <sheet name="Février" sheetId="5" r:id="rId5"/>
    <sheet name="Mars" sheetId="6" r:id="rId6"/>
    <sheet name="Avril" sheetId="7" r:id="rId7"/>
    <sheet name="Mai" sheetId="8" r:id="rId8"/>
    <sheet name="Juin" sheetId="9" r:id="rId9"/>
    <sheet name="Juillet" sheetId="10" r:id="rId10"/>
    <sheet name="Aout" sheetId="11" r:id="rId11"/>
    <sheet name="Septembre" sheetId="12" r:id="rId12"/>
    <sheet name="Ocotbre" sheetId="1" r:id="rId13"/>
    <sheet name="Novembre" sheetId="2" r:id="rId14"/>
    <sheet name="Décembre" sheetId="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9" l="1"/>
  <c r="E33" i="9"/>
  <c r="F33" i="9"/>
  <c r="H33" i="9"/>
  <c r="G11" i="9" l="1"/>
  <c r="G5" i="9"/>
  <c r="H37" i="15"/>
  <c r="H11" i="13" l="1"/>
  <c r="H10" i="13"/>
  <c r="H6" i="13"/>
  <c r="H7" i="13"/>
  <c r="F30" i="9"/>
  <c r="F30" i="8"/>
  <c r="F32" i="7"/>
  <c r="F11" i="9"/>
  <c r="F11" i="8"/>
  <c r="F12" i="7"/>
  <c r="F24" i="9" l="1"/>
  <c r="F32" i="9"/>
  <c r="F28" i="9"/>
  <c r="H28" i="9" s="1"/>
  <c r="F27" i="9"/>
  <c r="F31" i="9"/>
  <c r="H31" i="9" s="1"/>
  <c r="H30" i="9"/>
  <c r="F29" i="9"/>
  <c r="F26" i="9"/>
  <c r="F21" i="9"/>
  <c r="F20" i="9"/>
  <c r="F17" i="9"/>
  <c r="H17" i="9" s="1"/>
  <c r="F18" i="9"/>
  <c r="F16" i="9"/>
  <c r="F15" i="9"/>
  <c r="F14" i="9"/>
  <c r="F12" i="9"/>
  <c r="E18" i="9"/>
  <c r="H18" i="9" s="1"/>
  <c r="E27" i="9"/>
  <c r="E15" i="9"/>
  <c r="E16" i="9"/>
  <c r="E29" i="9"/>
  <c r="H29" i="9" s="1"/>
  <c r="E14" i="9"/>
  <c r="E20" i="9"/>
  <c r="E21" i="9"/>
  <c r="H21" i="9" s="1"/>
  <c r="E11" i="9"/>
  <c r="E11" i="8"/>
  <c r="E12" i="7"/>
  <c r="E12" i="9"/>
  <c r="E31" i="9"/>
  <c r="E28" i="9"/>
  <c r="E32" i="9"/>
  <c r="E30" i="9"/>
  <c r="E26" i="9"/>
  <c r="E24" i="9"/>
  <c r="F9" i="9"/>
  <c r="E9" i="9"/>
  <c r="F7" i="9"/>
  <c r="F6" i="9"/>
  <c r="E17" i="9"/>
  <c r="E25" i="9"/>
  <c r="E19" i="9"/>
  <c r="E6" i="9"/>
  <c r="E7" i="9"/>
  <c r="H5" i="9"/>
  <c r="H7" i="9"/>
  <c r="H8" i="9"/>
  <c r="E23" i="9"/>
  <c r="H23" i="9" s="1"/>
  <c r="E23" i="8"/>
  <c r="E24" i="7"/>
  <c r="E22" i="9"/>
  <c r="H22" i="9" s="1"/>
  <c r="E22" i="8"/>
  <c r="E23" i="7"/>
  <c r="E13" i="9"/>
  <c r="H19" i="9"/>
  <c r="H25" i="9"/>
  <c r="H32" i="9"/>
  <c r="E13" i="8"/>
  <c r="E14" i="7"/>
  <c r="H24" i="9" l="1"/>
  <c r="H26" i="9"/>
  <c r="H27" i="9"/>
  <c r="H20" i="9"/>
  <c r="H16" i="9"/>
  <c r="H15" i="9"/>
  <c r="H6" i="9"/>
  <c r="H9" i="9" s="1"/>
  <c r="H14" i="13" s="1"/>
  <c r="G11" i="8"/>
  <c r="G14" i="13" l="1"/>
  <c r="F15" i="13"/>
  <c r="F14" i="13"/>
  <c r="G7" i="13"/>
  <c r="G6" i="13"/>
  <c r="G37" i="15"/>
  <c r="F32" i="8"/>
  <c r="G11" i="13" s="1"/>
  <c r="E32" i="8"/>
  <c r="G10" i="13" s="1"/>
  <c r="E9" i="8"/>
  <c r="F9" i="8"/>
  <c r="H9" i="8"/>
  <c r="G5" i="8"/>
  <c r="D37" i="15" l="1"/>
  <c r="E37" i="15"/>
  <c r="F37" i="15"/>
  <c r="I37" i="15"/>
  <c r="J37" i="15"/>
  <c r="K37" i="15"/>
  <c r="L37" i="15"/>
  <c r="M37" i="15"/>
  <c r="N37" i="15"/>
  <c r="C37" i="15"/>
  <c r="F29" i="8"/>
  <c r="F31" i="8"/>
  <c r="H31" i="8" s="1"/>
  <c r="F28" i="8"/>
  <c r="H28" i="8"/>
  <c r="F27" i="8"/>
  <c r="F26" i="8"/>
  <c r="H26" i="8" s="1"/>
  <c r="F24" i="8"/>
  <c r="F21" i="8"/>
  <c r="F20" i="8"/>
  <c r="E21" i="7"/>
  <c r="F29" i="7"/>
  <c r="F18" i="8"/>
  <c r="F17" i="8"/>
  <c r="F16" i="8"/>
  <c r="F15" i="8"/>
  <c r="F14" i="8"/>
  <c r="F12" i="8"/>
  <c r="F7" i="8"/>
  <c r="F6" i="8"/>
  <c r="E29" i="7"/>
  <c r="E20" i="8"/>
  <c r="H20" i="8"/>
  <c r="E24" i="8"/>
  <c r="E21" i="8"/>
  <c r="E30" i="8"/>
  <c r="E27" i="8"/>
  <c r="E31" i="8"/>
  <c r="E29" i="8"/>
  <c r="E28" i="8"/>
  <c r="E26" i="8"/>
  <c r="E18" i="8"/>
  <c r="E17" i="8"/>
  <c r="E16" i="8"/>
  <c r="E15" i="8"/>
  <c r="E12" i="8"/>
  <c r="E25" i="8"/>
  <c r="E19" i="8"/>
  <c r="E14" i="8"/>
  <c r="E6" i="8"/>
  <c r="E7" i="8"/>
  <c r="E8" i="8"/>
  <c r="E5" i="8"/>
  <c r="H16" i="8"/>
  <c r="H17" i="8"/>
  <c r="H18" i="8"/>
  <c r="H19" i="8"/>
  <c r="H21" i="8"/>
  <c r="H22" i="8"/>
  <c r="H23" i="8"/>
  <c r="H24" i="8"/>
  <c r="H25" i="8"/>
  <c r="H27" i="8"/>
  <c r="H29" i="8"/>
  <c r="H30" i="8"/>
  <c r="F34" i="7" l="1"/>
  <c r="E34" i="7"/>
  <c r="F10" i="7"/>
  <c r="E10" i="7"/>
  <c r="H10" i="7"/>
  <c r="D8" i="15"/>
  <c r="E8" i="15"/>
  <c r="C8" i="15"/>
  <c r="D41" i="15" l="1"/>
  <c r="E41" i="15"/>
  <c r="C41" i="15"/>
  <c r="G12" i="7" l="1"/>
  <c r="H16" i="7" l="1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3" i="6"/>
  <c r="E24" i="13"/>
  <c r="F11" i="13"/>
  <c r="F10" i="13"/>
  <c r="F7" i="13"/>
  <c r="F6" i="13"/>
  <c r="G5" i="7"/>
  <c r="F33" i="7" l="1"/>
  <c r="F31" i="7"/>
  <c r="F30" i="7"/>
  <c r="F21" i="7"/>
  <c r="F28" i="7"/>
  <c r="F27" i="7"/>
  <c r="F25" i="7"/>
  <c r="F22" i="7"/>
  <c r="F19" i="7"/>
  <c r="F18" i="7"/>
  <c r="F17" i="7"/>
  <c r="F16" i="7"/>
  <c r="F15" i="7"/>
  <c r="F13" i="7"/>
  <c r="F9" i="7"/>
  <c r="F7" i="7"/>
  <c r="F6" i="7"/>
  <c r="H14" i="7"/>
  <c r="E26" i="7"/>
  <c r="E33" i="7"/>
  <c r="E20" i="7"/>
  <c r="E19" i="7"/>
  <c r="E32" i="7"/>
  <c r="E22" i="7"/>
  <c r="E31" i="7"/>
  <c r="E19" i="4"/>
  <c r="E15" i="7"/>
  <c r="E30" i="7"/>
  <c r="E13" i="7"/>
  <c r="E25" i="7"/>
  <c r="E28" i="7"/>
  <c r="E27" i="7"/>
  <c r="E18" i="7"/>
  <c r="E17" i="7"/>
  <c r="E16" i="7"/>
  <c r="E7" i="7"/>
  <c r="E6" i="7"/>
  <c r="E8" i="7"/>
  <c r="E5" i="7"/>
  <c r="E9" i="7"/>
  <c r="F23" i="4" l="1"/>
  <c r="C11" i="13" s="1"/>
  <c r="E23" i="4"/>
  <c r="C10" i="13" s="1"/>
  <c r="F9" i="4"/>
  <c r="C7" i="13" s="1"/>
  <c r="E9" i="4"/>
  <c r="C6" i="13" s="1"/>
  <c r="F11" i="5"/>
  <c r="D7" i="13" s="1"/>
  <c r="E11" i="5"/>
  <c r="D6" i="13" s="1"/>
  <c r="F11" i="6"/>
  <c r="E7" i="13" s="1"/>
  <c r="E11" i="6"/>
  <c r="E6" i="13" s="1"/>
  <c r="F31" i="6"/>
  <c r="E31" i="6"/>
  <c r="E11" i="13"/>
  <c r="E10" i="13"/>
  <c r="D11" i="13"/>
  <c r="D10" i="13"/>
  <c r="F28" i="5"/>
  <c r="E28" i="5"/>
  <c r="O11" i="13" l="1"/>
  <c r="O10" i="13"/>
  <c r="O7" i="13"/>
  <c r="O6" i="13"/>
  <c r="G13" i="6"/>
  <c r="G5" i="6"/>
  <c r="F14" i="6" l="1"/>
  <c r="F14" i="5"/>
  <c r="F11" i="4"/>
  <c r="E30" i="6" l="1"/>
  <c r="E29" i="13"/>
  <c r="E46" i="15" l="1"/>
  <c r="F23" i="6"/>
  <c r="F30" i="6"/>
  <c r="H30" i="6"/>
  <c r="F22" i="6"/>
  <c r="F20" i="6"/>
  <c r="F16" i="6"/>
  <c r="E22" i="6"/>
  <c r="E21" i="6"/>
  <c r="E21" i="5"/>
  <c r="E20" i="6"/>
  <c r="E16" i="6"/>
  <c r="E25" i="6"/>
  <c r="E24" i="6"/>
  <c r="E15" i="6"/>
  <c r="F6" i="6"/>
  <c r="E6" i="6"/>
  <c r="G5" i="5"/>
  <c r="F29" i="6" l="1"/>
  <c r="F28" i="6"/>
  <c r="F26" i="6"/>
  <c r="F19" i="6"/>
  <c r="F18" i="6"/>
  <c r="F17" i="6"/>
  <c r="F7" i="6"/>
  <c r="H7" i="6" s="1"/>
  <c r="F9" i="6"/>
  <c r="H9" i="6" s="1"/>
  <c r="F10" i="6"/>
  <c r="H10" i="6" s="1"/>
  <c r="E29" i="6"/>
  <c r="E23" i="6"/>
  <c r="H23" i="6" s="1"/>
  <c r="E13" i="6"/>
  <c r="H13" i="6" s="1"/>
  <c r="E28" i="6"/>
  <c r="E26" i="6"/>
  <c r="E19" i="6"/>
  <c r="E14" i="6"/>
  <c r="E18" i="6"/>
  <c r="E17" i="6"/>
  <c r="H6" i="6"/>
  <c r="H8" i="6"/>
  <c r="H5" i="6"/>
  <c r="H20" i="6"/>
  <c r="H21" i="6"/>
  <c r="H22" i="6"/>
  <c r="H24" i="6"/>
  <c r="H25" i="6"/>
  <c r="H27" i="6"/>
  <c r="H11" i="6" l="1"/>
  <c r="H17" i="6"/>
  <c r="H26" i="6"/>
  <c r="H28" i="6"/>
  <c r="H19" i="6"/>
  <c r="H29" i="6"/>
  <c r="H18" i="6"/>
  <c r="E27" i="5"/>
  <c r="H27" i="5" l="1"/>
  <c r="E47" i="15" l="1"/>
  <c r="F47" i="15"/>
  <c r="G47" i="15"/>
  <c r="H47" i="15"/>
  <c r="I47" i="15"/>
  <c r="J47" i="15"/>
  <c r="K47" i="15"/>
  <c r="L47" i="15"/>
  <c r="M47" i="15"/>
  <c r="N47" i="15"/>
  <c r="D47" i="15"/>
  <c r="E18" i="4" l="1"/>
  <c r="H6" i="4" l="1"/>
  <c r="F26" i="5"/>
  <c r="F23" i="5"/>
  <c r="H5" i="5" l="1"/>
  <c r="E6" i="5"/>
  <c r="E15" i="5" l="1"/>
  <c r="G13" i="5" l="1"/>
  <c r="G5" i="4"/>
  <c r="F19" i="5" l="1"/>
  <c r="H19" i="5" s="1"/>
  <c r="F16" i="4"/>
  <c r="E24" i="5"/>
  <c r="E22" i="4"/>
  <c r="H22" i="4" s="1"/>
  <c r="H24" i="5"/>
  <c r="E25" i="5"/>
  <c r="F22" i="5"/>
  <c r="F20" i="5"/>
  <c r="F18" i="5"/>
  <c r="F17" i="5"/>
  <c r="F16" i="5"/>
  <c r="H6" i="5"/>
  <c r="H7" i="5"/>
  <c r="H8" i="5"/>
  <c r="H9" i="5"/>
  <c r="H10" i="5"/>
  <c r="H13" i="5"/>
  <c r="H14" i="5"/>
  <c r="H28" i="5" s="1"/>
  <c r="H30" i="5" s="1"/>
  <c r="H15" i="5"/>
  <c r="H16" i="5"/>
  <c r="H17" i="5"/>
  <c r="E23" i="5"/>
  <c r="H23" i="5"/>
  <c r="E20" i="5"/>
  <c r="E16" i="5"/>
  <c r="E22" i="5"/>
  <c r="H22" i="5" s="1"/>
  <c r="E26" i="5"/>
  <c r="E14" i="5"/>
  <c r="E19" i="5"/>
  <c r="E18" i="5"/>
  <c r="H18" i="5" s="1"/>
  <c r="E17" i="5"/>
  <c r="E13" i="5"/>
  <c r="F6" i="5"/>
  <c r="F7" i="5"/>
  <c r="F10" i="5"/>
  <c r="F9" i="5"/>
  <c r="E10" i="5"/>
  <c r="E9" i="5"/>
  <c r="E7" i="5"/>
  <c r="H21" i="5"/>
  <c r="H12" i="5"/>
  <c r="H25" i="5"/>
  <c r="H26" i="5"/>
  <c r="H11" i="5" l="1"/>
  <c r="D19" i="13"/>
  <c r="H20" i="5"/>
  <c r="F19" i="4" l="1"/>
  <c r="F20" i="4"/>
  <c r="F15" i="4"/>
  <c r="F14" i="4"/>
  <c r="F21" i="4"/>
  <c r="F13" i="4"/>
  <c r="F17" i="4"/>
  <c r="H33" i="16"/>
  <c r="E16" i="4"/>
  <c r="E13" i="4"/>
  <c r="E11" i="4"/>
  <c r="E21" i="4"/>
  <c r="E20" i="4"/>
  <c r="E17" i="4"/>
  <c r="E15" i="4"/>
  <c r="E14" i="4"/>
  <c r="C29" i="13" l="1"/>
  <c r="F7" i="4" l="1"/>
  <c r="H7" i="4" s="1"/>
  <c r="F8" i="4"/>
  <c r="E8" i="4" l="1"/>
  <c r="H8" i="4" s="1"/>
  <c r="H21" i="4" l="1"/>
  <c r="H20" i="4"/>
  <c r="H19" i="4"/>
  <c r="H18" i="4"/>
  <c r="H16" i="4"/>
  <c r="H15" i="4"/>
  <c r="H14" i="4"/>
  <c r="H13" i="4"/>
  <c r="H12" i="4"/>
  <c r="H11" i="4"/>
  <c r="H17" i="4" l="1"/>
  <c r="H23" i="4" s="1"/>
  <c r="C19" i="13" l="1"/>
  <c r="H7" i="12"/>
  <c r="H8" i="12"/>
  <c r="P31" i="15" l="1"/>
  <c r="H21" i="16" l="1"/>
  <c r="H22" i="16"/>
  <c r="H23" i="16"/>
  <c r="H24" i="16"/>
  <c r="H25" i="16"/>
  <c r="H26" i="16"/>
  <c r="H27" i="16"/>
  <c r="H28" i="16"/>
  <c r="H29" i="16"/>
  <c r="H30" i="16"/>
  <c r="H31" i="16"/>
  <c r="H32" i="16"/>
  <c r="H20" i="16"/>
  <c r="H5" i="3" l="1"/>
  <c r="H5" i="12"/>
  <c r="N29" i="13"/>
  <c r="P44" i="15"/>
  <c r="P29" i="15"/>
  <c r="H19" i="3" l="1"/>
  <c r="H9" i="12"/>
  <c r="H6" i="3"/>
  <c r="H7" i="3"/>
  <c r="H9" i="3"/>
  <c r="H8" i="3"/>
  <c r="H21" i="3"/>
  <c r="H13" i="3"/>
  <c r="H20" i="2"/>
  <c r="H15" i="3"/>
  <c r="H10" i="3" l="1"/>
  <c r="H18" i="3"/>
  <c r="H14" i="3"/>
  <c r="H16" i="3"/>
  <c r="H17" i="3"/>
  <c r="H12" i="3"/>
  <c r="H22" i="3"/>
  <c r="H20" i="3"/>
  <c r="N14" i="13" l="1"/>
  <c r="H23" i="3"/>
  <c r="H14" i="12"/>
  <c r="N19" i="13" l="1"/>
  <c r="H26" i="3"/>
  <c r="N24" i="13" s="1"/>
  <c r="H7" i="2"/>
  <c r="H12" i="2"/>
  <c r="H13" i="2"/>
  <c r="H6" i="2"/>
  <c r="H19" i="2"/>
  <c r="H5" i="2"/>
  <c r="H5" i="1"/>
  <c r="H9" i="2"/>
  <c r="H8" i="2" l="1"/>
  <c r="H15" i="2"/>
  <c r="H16" i="2"/>
  <c r="H18" i="2"/>
  <c r="H17" i="2"/>
  <c r="H14" i="2"/>
  <c r="H21" i="2" s="1"/>
  <c r="M19" i="13" s="1"/>
  <c r="H19" i="12"/>
  <c r="H10" i="2" l="1"/>
  <c r="N15" i="13"/>
  <c r="H23" i="2" l="1"/>
  <c r="M24" i="13" s="1"/>
  <c r="M14" i="13"/>
  <c r="H20" i="12"/>
  <c r="I30" i="13"/>
  <c r="H18" i="12" l="1"/>
  <c r="H11" i="12" l="1"/>
  <c r="H17" i="12"/>
  <c r="H16" i="12"/>
  <c r="H15" i="11"/>
  <c r="H7" i="1" l="1"/>
  <c r="H6" i="1"/>
  <c r="H14" i="1"/>
  <c r="H10" i="12"/>
  <c r="H9" i="1" l="1"/>
  <c r="H12" i="1"/>
  <c r="H13" i="1"/>
  <c r="H15" i="1" l="1"/>
  <c r="H16" i="1"/>
  <c r="H8" i="1"/>
  <c r="K29" i="13"/>
  <c r="H10" i="1" l="1"/>
  <c r="H18" i="1"/>
  <c r="H17" i="1"/>
  <c r="H19" i="1"/>
  <c r="H19" i="11"/>
  <c r="H18" i="11"/>
  <c r="H20" i="10"/>
  <c r="H19" i="10"/>
  <c r="H14" i="9"/>
  <c r="H13" i="9"/>
  <c r="H15" i="8"/>
  <c r="H14" i="8"/>
  <c r="H15" i="7"/>
  <c r="H16" i="6"/>
  <c r="H15" i="6"/>
  <c r="H20" i="1" l="1"/>
  <c r="L19" i="13" s="1"/>
  <c r="H22" i="1"/>
  <c r="L14" i="13"/>
  <c r="L24" i="13"/>
  <c r="H6" i="12"/>
  <c r="H12" i="12" l="1"/>
  <c r="H15" i="12"/>
  <c r="H21" i="12" s="1"/>
  <c r="P7" i="15"/>
  <c r="H17" i="11"/>
  <c r="H5" i="11"/>
  <c r="H23" i="12" l="1"/>
  <c r="K14" i="13"/>
  <c r="K15" i="13" s="1"/>
  <c r="K19" i="13"/>
  <c r="K24" i="13"/>
  <c r="H17" i="10" l="1"/>
  <c r="P41" i="15"/>
  <c r="P43" i="15"/>
  <c r="P45" i="15"/>
  <c r="P46" i="15"/>
  <c r="P8" i="15" l="1"/>
  <c r="P12" i="15"/>
  <c r="P14" i="15"/>
  <c r="P15" i="15"/>
  <c r="P16" i="15"/>
  <c r="P18" i="15"/>
  <c r="P19" i="15"/>
  <c r="P23" i="15"/>
  <c r="P25" i="15"/>
  <c r="P30" i="15"/>
  <c r="P6" i="15"/>
  <c r="F29" i="13"/>
  <c r="G29" i="13"/>
  <c r="G15" i="13" s="1"/>
  <c r="J29" i="13"/>
  <c r="L29" i="13"/>
  <c r="L15" i="13" s="1"/>
  <c r="M29" i="13"/>
  <c r="M15" i="13" s="1"/>
  <c r="D30" i="13"/>
  <c r="D20" i="13" s="1"/>
  <c r="E30" i="13"/>
  <c r="G30" i="13"/>
  <c r="H30" i="13"/>
  <c r="J30" i="13"/>
  <c r="K30" i="13"/>
  <c r="K20" i="13" s="1"/>
  <c r="K25" i="13" s="1"/>
  <c r="L30" i="13"/>
  <c r="L20" i="13" s="1"/>
  <c r="C47" i="15"/>
  <c r="H18" i="10"/>
  <c r="F30" i="13"/>
  <c r="P47" i="15" l="1"/>
  <c r="N30" i="13"/>
  <c r="N20" i="13" s="1"/>
  <c r="N25" i="13" s="1"/>
  <c r="N49" i="15"/>
  <c r="N31" i="13" s="1"/>
  <c r="C30" i="13"/>
  <c r="C20" i="13" s="1"/>
  <c r="C49" i="15"/>
  <c r="C31" i="13" s="1"/>
  <c r="M49" i="15"/>
  <c r="M31" i="13" s="1"/>
  <c r="M30" i="13"/>
  <c r="M20" i="13" s="1"/>
  <c r="M25" i="13" s="1"/>
  <c r="L25" i="13"/>
  <c r="L49" i="15"/>
  <c r="L31" i="13" s="1"/>
  <c r="F49" i="15"/>
  <c r="F31" i="13" s="1"/>
  <c r="K49" i="15"/>
  <c r="K31" i="13" s="1"/>
  <c r="G49" i="15"/>
  <c r="G31" i="13" s="1"/>
  <c r="J49" i="15"/>
  <c r="J31" i="13" s="1"/>
  <c r="H29" i="13"/>
  <c r="D29" i="13" l="1"/>
  <c r="P37" i="15"/>
  <c r="O30" i="13"/>
  <c r="I29" i="13"/>
  <c r="I49" i="15"/>
  <c r="I31" i="13" s="1"/>
  <c r="D49" i="15"/>
  <c r="D31" i="13" s="1"/>
  <c r="H49" i="15"/>
  <c r="H31" i="13" s="1"/>
  <c r="P10" i="15"/>
  <c r="E49" i="15"/>
  <c r="E31" i="13" s="1"/>
  <c r="P13" i="15"/>
  <c r="H15" i="10"/>
  <c r="H16" i="11"/>
  <c r="H14" i="11"/>
  <c r="H20" i="11" s="1"/>
  <c r="J19" i="13" s="1"/>
  <c r="H7" i="10"/>
  <c r="H16" i="10"/>
  <c r="H11" i="9"/>
  <c r="H11" i="8"/>
  <c r="H12" i="8"/>
  <c r="H13" i="7"/>
  <c r="H12" i="7"/>
  <c r="H34" i="7" s="1"/>
  <c r="H14" i="6"/>
  <c r="F19" i="13" l="1"/>
  <c r="H36" i="7"/>
  <c r="H31" i="6"/>
  <c r="E19" i="13"/>
  <c r="E20" i="13" s="1"/>
  <c r="O29" i="13"/>
  <c r="H21" i="10"/>
  <c r="I19" i="13" s="1"/>
  <c r="I20" i="13" s="1"/>
  <c r="O31" i="13"/>
  <c r="J20" i="13"/>
  <c r="H12" i="9"/>
  <c r="H13" i="8"/>
  <c r="H11" i="10"/>
  <c r="H32" i="8" l="1"/>
  <c r="H34" i="8" s="1"/>
  <c r="G24" i="13" s="1"/>
  <c r="H19" i="13"/>
  <c r="H20" i="13" s="1"/>
  <c r="H7" i="11"/>
  <c r="H8" i="11"/>
  <c r="H9" i="11"/>
  <c r="H10" i="11"/>
  <c r="H8" i="10"/>
  <c r="H9" i="10"/>
  <c r="H10" i="10"/>
  <c r="H12" i="10"/>
  <c r="H8" i="8"/>
  <c r="H7" i="7"/>
  <c r="H8" i="7"/>
  <c r="H9" i="7"/>
  <c r="H6" i="10"/>
  <c r="H5" i="8"/>
  <c r="H5" i="4"/>
  <c r="H9" i="4" s="1"/>
  <c r="H26" i="4" s="1"/>
  <c r="C24" i="13" s="1"/>
  <c r="H6" i="11"/>
  <c r="H11" i="11"/>
  <c r="H7" i="8"/>
  <c r="H6" i="8"/>
  <c r="H6" i="7"/>
  <c r="G19" i="13" l="1"/>
  <c r="G20" i="13" s="1"/>
  <c r="G25" i="13" s="1"/>
  <c r="C14" i="13"/>
  <c r="C15" i="13" s="1"/>
  <c r="C25" i="13" s="1"/>
  <c r="E14" i="13"/>
  <c r="E15" i="13" s="1"/>
  <c r="E25" i="13" s="1"/>
  <c r="H13" i="10"/>
  <c r="H12" i="11"/>
  <c r="H5" i="7"/>
  <c r="J14" i="13" l="1"/>
  <c r="J15" i="13" s="1"/>
  <c r="J25" i="13" s="1"/>
  <c r="H22" i="11"/>
  <c r="H23" i="10"/>
  <c r="I14" i="13"/>
  <c r="I15" i="13" s="1"/>
  <c r="I25" i="13" s="1"/>
  <c r="H15" i="13"/>
  <c r="H25" i="13" s="1"/>
  <c r="D14" i="13" l="1"/>
  <c r="D15" i="13" s="1"/>
  <c r="D25" i="13" s="1"/>
  <c r="F20" i="13"/>
  <c r="O20" i="13" s="1"/>
  <c r="O14" i="13" l="1"/>
  <c r="O19" i="13"/>
  <c r="F25" i="13"/>
  <c r="O25" i="13" s="1"/>
  <c r="J24" i="13"/>
  <c r="I24" i="13"/>
  <c r="H24" i="13" l="1"/>
  <c r="D24" i="13" l="1"/>
  <c r="O15" i="13" l="1"/>
  <c r="F24" i="13" l="1"/>
  <c r="O24" i="13" s="1"/>
</calcChain>
</file>

<file path=xl/comments1.xml><?xml version="1.0" encoding="utf-8"?>
<comments xmlns="http://schemas.openxmlformats.org/spreadsheetml/2006/main">
  <authors>
    <author>Sadok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comission iodev</t>
        </r>
      </text>
    </comment>
  </commentList>
</comments>
</file>

<file path=xl/comments2.xml><?xml version="1.0" encoding="utf-8"?>
<comments xmlns="http://schemas.openxmlformats.org/spreadsheetml/2006/main">
  <authors>
    <author>Sadok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youssef + iodev</t>
        </r>
      </text>
    </comment>
  </commentList>
</comments>
</file>

<file path=xl/comments3.xml><?xml version="1.0" encoding="utf-8"?>
<comments xmlns="http://schemas.openxmlformats.org/spreadsheetml/2006/main">
  <authors>
    <author>Sadok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youssef + prime iodev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oussama + prime marouene</t>
        </r>
      </text>
    </comment>
  </commentList>
</comments>
</file>

<file path=xl/sharedStrings.xml><?xml version="1.0" encoding="utf-8"?>
<sst xmlns="http://schemas.openxmlformats.org/spreadsheetml/2006/main" count="838" uniqueCount="153">
  <si>
    <t>consultant</t>
  </si>
  <si>
    <t>Salariés</t>
  </si>
  <si>
    <t>Sous-traitant</t>
  </si>
  <si>
    <t>facturation client HT</t>
  </si>
  <si>
    <t>facturation Fournisseur HT</t>
  </si>
  <si>
    <t>Marge nette</t>
  </si>
  <si>
    <t>Marge totale du mois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</si>
  <si>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</si>
  <si>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</si>
  <si>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</si>
  <si>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</si>
  <si>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</si>
  <si>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</si>
  <si>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</si>
  <si>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</si>
  <si>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</si>
  <si>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</si>
  <si>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</si>
  <si>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</si>
  <si>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</si>
  <si>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Rania MTAALLAH</t>
  </si>
  <si>
    <t>Hamza TOUHAMI</t>
  </si>
  <si>
    <t>Haythem HAMZAOUI</t>
  </si>
  <si>
    <t>AlaEddine AYARI</t>
  </si>
  <si>
    <t>Taux de change =</t>
  </si>
  <si>
    <t>Nawres BELHOULA</t>
  </si>
  <si>
    <t xml:space="preserve"> Salaire NET</t>
  </si>
  <si>
    <t>Youssef GHALLEB</t>
  </si>
  <si>
    <t>Loyer</t>
  </si>
  <si>
    <t>Oussama BEN DERMECH</t>
  </si>
  <si>
    <t>Ahmed RIHANI</t>
  </si>
  <si>
    <t>Yosra MABROUKI</t>
  </si>
  <si>
    <t>EZEEGENAI</t>
  </si>
  <si>
    <t>ITDEVTEAM</t>
  </si>
  <si>
    <t xml:space="preserve"> ITDEVTEAM </t>
  </si>
  <si>
    <t xml:space="preserve">  ITDEVTEAM  </t>
  </si>
  <si>
    <t xml:space="preserve"> EZEEGENAI </t>
  </si>
  <si>
    <t>Août</t>
  </si>
  <si>
    <t>Novembre</t>
  </si>
  <si>
    <t xml:space="preserve">Déclaration Mensuelle </t>
  </si>
  <si>
    <t>Cnss</t>
  </si>
  <si>
    <t>Charge itdevteam</t>
  </si>
  <si>
    <t>Sonede</t>
  </si>
  <si>
    <t xml:space="preserve">Orange </t>
  </si>
  <si>
    <t>Steg</t>
  </si>
  <si>
    <t>TOTAL</t>
  </si>
  <si>
    <t>Resto</t>
  </si>
  <si>
    <t>MYTEK</t>
  </si>
  <si>
    <t>YASSINE PACK</t>
  </si>
  <si>
    <t>Presto Service</t>
  </si>
  <si>
    <t>Géant</t>
  </si>
  <si>
    <t>edito</t>
  </si>
  <si>
    <t>Charge ezeegenai</t>
  </si>
  <si>
    <t>PLUXEE</t>
  </si>
  <si>
    <t>Salaire Ons</t>
  </si>
  <si>
    <t>TOTAL ITDEVTEAM</t>
  </si>
  <si>
    <t>TOTAL EZEEGENAI</t>
  </si>
  <si>
    <t>TEKABDEV</t>
  </si>
  <si>
    <t xml:space="preserve">TOTAL CHARGES </t>
  </si>
  <si>
    <t>Société</t>
  </si>
  <si>
    <t>Ezee Gen Ai</t>
  </si>
  <si>
    <t>Marge Brut ITDEVTEAM</t>
  </si>
  <si>
    <t>Marge Brut EZEEGENAI</t>
  </si>
  <si>
    <t xml:space="preserve"> CHARGES ITDEVTEAM</t>
  </si>
  <si>
    <t xml:space="preserve"> CHARGES EZEEGENAI</t>
  </si>
  <si>
    <t>Marge Nette ITDEVTEAM</t>
  </si>
  <si>
    <t>Marge Nette EZEEGENAI</t>
  </si>
  <si>
    <t>FOLIES SUCREES</t>
  </si>
  <si>
    <t>Ameni EL ABED</t>
  </si>
  <si>
    <t xml:space="preserve">EZEEGENAI </t>
  </si>
  <si>
    <t>Sofien OUNI</t>
  </si>
  <si>
    <t>Amina ABDELKAFI (IPD)</t>
  </si>
  <si>
    <t>Amina ABDELKAFI (CARREFOUR)</t>
  </si>
  <si>
    <t xml:space="preserve"> Amina ABDELKAFI (ste sokamar)</t>
  </si>
  <si>
    <t>frais comptable</t>
  </si>
  <si>
    <t>Marge Nette totale</t>
  </si>
  <si>
    <t>Acompte bilan prévisionnel</t>
  </si>
  <si>
    <t>Ons HARRABI</t>
  </si>
  <si>
    <t>Rim CHAARI</t>
  </si>
  <si>
    <t>Karim LOUATI</t>
  </si>
  <si>
    <t>tunisie autoroutes</t>
  </si>
  <si>
    <t>IT DEV TEAM</t>
  </si>
  <si>
    <t>Fournisseur</t>
  </si>
  <si>
    <t>Client</t>
  </si>
  <si>
    <t>Cooptation</t>
  </si>
  <si>
    <t xml:space="preserve">Alaeddine AYARI </t>
  </si>
  <si>
    <t>CLEVERMIND</t>
  </si>
  <si>
    <t>Teamsyst</t>
  </si>
  <si>
    <t>CLEVERSET</t>
  </si>
  <si>
    <t>STARK</t>
  </si>
  <si>
    <t xml:space="preserve">Ons HARRABI </t>
  </si>
  <si>
    <t>Salaire</t>
  </si>
  <si>
    <t>Rania MTAALAH</t>
  </si>
  <si>
    <t>Sa propre Boite</t>
  </si>
  <si>
    <t>NEXTWARE</t>
  </si>
  <si>
    <t>TEKAB DEV</t>
  </si>
  <si>
    <t>Amina ABDELKAFI</t>
  </si>
  <si>
    <t>Mohamed ELLOUZE</t>
  </si>
  <si>
    <t>INFOBIA</t>
  </si>
  <si>
    <t>Nawress BELHOULA</t>
  </si>
  <si>
    <t>BACAB</t>
  </si>
  <si>
    <t>Ameni ELABED</t>
  </si>
  <si>
    <t>Youssef GHALLEB / IODEV</t>
  </si>
  <si>
    <t>DORCYWAY</t>
  </si>
  <si>
    <t>tjm client</t>
  </si>
  <si>
    <t>tjm fournisseur</t>
  </si>
  <si>
    <t>marge / jours</t>
  </si>
  <si>
    <t>Amina ABDELKAFI IPD</t>
  </si>
  <si>
    <t>Amina ABDELKAFI carrefour</t>
  </si>
  <si>
    <t>aporteur affaire</t>
  </si>
  <si>
    <t>charge pour salaire rania = cnss = 1557; IRPP = 1154,798; contribution sociale = 21,820</t>
  </si>
  <si>
    <t>charge pour salaire(+prime fin d'année) rania = cnss = 1557; IRPP = 1154,798+871,817; contribution sociale = 21,820+13,619</t>
  </si>
  <si>
    <t>Salaire MAHMOUD</t>
  </si>
  <si>
    <t>MARGE BRUTE = MARGE FACTURATION SANS CHARGE</t>
  </si>
  <si>
    <t>MARGE NETTE = MARGE BRUTE - CHARGES</t>
  </si>
  <si>
    <t>vente sur itdev team</t>
  </si>
  <si>
    <t xml:space="preserve">achat sur ezeegen </t>
  </si>
  <si>
    <t>à jours le 14/01/2025</t>
  </si>
  <si>
    <t>Marge Brut totale</t>
  </si>
  <si>
    <t>Salma DAMMAK</t>
  </si>
  <si>
    <t>declan</t>
  </si>
  <si>
    <t xml:space="preserve">Khaled HIZAOUI </t>
  </si>
  <si>
    <t xml:space="preserve">Mohamed Amine KHEMIRI </t>
  </si>
  <si>
    <t xml:space="preserve">Rania HECHMI </t>
  </si>
  <si>
    <t>Imene JEDIDI</t>
  </si>
  <si>
    <t xml:space="preserve">Saifeddine GHRAB </t>
  </si>
  <si>
    <t>Badran YAHYAOUI</t>
  </si>
  <si>
    <t xml:space="preserve"> HIGHSKILL</t>
  </si>
  <si>
    <t>Houssem LAJILI</t>
  </si>
  <si>
    <t xml:space="preserve">Amine JEBABLI </t>
  </si>
  <si>
    <t>Khmaies KEBAILI</t>
  </si>
  <si>
    <t>bilan impot</t>
  </si>
  <si>
    <t>Salaire Eya</t>
  </si>
  <si>
    <t>Salaire Mohamed AMIRA</t>
  </si>
  <si>
    <t>total</t>
  </si>
  <si>
    <t>Facturation Client ITDEVTEAM</t>
  </si>
  <si>
    <t>Facturation Client EZEEGENAI</t>
  </si>
  <si>
    <t>Facturation Fornisseur ITDEVTEAM</t>
  </si>
  <si>
    <t>Facturation Fornisseur EZEEGENAI</t>
  </si>
  <si>
    <t>Article Desk Shop</t>
  </si>
  <si>
    <t>THE ART OF SCENTS</t>
  </si>
  <si>
    <t>UHD</t>
  </si>
  <si>
    <t xml:space="preserve"> STE LA CAGE AUX SAVEURS</t>
  </si>
  <si>
    <t>EL MASRI (jus)</t>
  </si>
  <si>
    <t xml:space="preserve">Mohamed DRIDI </t>
  </si>
  <si>
    <t>Saif Eddine ESSAIDI</t>
  </si>
  <si>
    <t>Malika CHARFI</t>
  </si>
  <si>
    <t>CHAKHAR EVENTS</t>
  </si>
  <si>
    <t>Salaire Mohamed Jassem DEBBICH</t>
  </si>
  <si>
    <t>Salaire Saifeddine BACCOUCHE</t>
  </si>
  <si>
    <t>Salaire  Sami RAJICHI</t>
  </si>
  <si>
    <t>arom air</t>
  </si>
  <si>
    <t>Taha CHARCHERI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</si>
</sst>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\ _€_-;\-* #,##0.000\ _€_-;_-* &quot;-&quot;??\ _€_-;_-@_-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rgb="FF9C0006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i/>
      <sz val="11"/>
      <color theme="1"/>
      <name val="Calibri"/>
      <scheme val="minor"/>
    </font>
    <font>
      <b/>
      <i/>
      <sz val="11"/>
      <color rgb="FF006100"/>
      <name val="Calibri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1" applyNumberFormat="0" applyAlignment="0" applyProtection="0"/>
    <xf numFmtId="0" fontId="20" fillId="15" borderId="12" applyNumberFormat="0" applyAlignment="0" applyProtection="0"/>
    <xf numFmtId="0" fontId="21" fillId="15" borderId="11" applyNumberFormat="0" applyAlignment="0" applyProtection="0"/>
    <xf numFmtId="0" fontId="22" fillId="0" borderId="13" applyNumberFormat="0" applyFill="0" applyAlignment="0" applyProtection="0"/>
    <xf numFmtId="0" fontId="23" fillId="16" borderId="14" applyNumberFormat="0" applyAlignment="0" applyProtection="0"/>
    <xf numFmtId="0" fontId="24" fillId="0" borderId="0" applyNumberFormat="0" applyFill="0" applyBorder="0" applyAlignment="0" applyProtection="0"/>
    <xf numFmtId="0" fontId="2" fillId="17" borderId="15" applyNumberFormat="0" applyFont="0" applyAlignment="0" applyProtection="0"/>
    <xf numFmtId="0" fontId="25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6" fillId="41" borderId="0" applyNumberFormat="0" applyBorder="0" applyAlignment="0" applyProtection="0"/>
    <xf numFmtId="43" fontId="2" fillId="0" borderId="0" applyFont="0" applyFill="0" applyBorder="0" applyAlignment="0" applyProtection="0"/>
  </cellStyleXfs>
  <cellXfs count="148">
    <xf numFmtId="0" fontId="0" fillId="0" borderId="0" xfId="0"/>
    <xf numFmtId="0" fontId="1" fillId="2" borderId="0" xfId="0" quotePrefix="1" applyNumberFormat="1" applyFont="1" applyFill="1" applyBorder="1" applyAlignment="1" applyProtection="1"/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7" fillId="3" borderId="3" xfId="0" applyFont="1" applyFill="1" applyBorder="1"/>
    <xf numFmtId="44" fontId="8" fillId="3" borderId="4" xfId="1" applyFont="1" applyFill="1" applyBorder="1"/>
    <xf numFmtId="0" fontId="3" fillId="5" borderId="3" xfId="0" applyFont="1" applyFill="1" applyBorder="1"/>
    <xf numFmtId="0" fontId="3" fillId="6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4" fontId="0" fillId="0" borderId="0" xfId="0" applyNumberFormat="1"/>
    <xf numFmtId="0" fontId="12" fillId="8" borderId="1" xfId="0" applyFont="1" applyFill="1" applyBorder="1" applyAlignment="1">
      <alignment horizontal="center" vertical="center"/>
    </xf>
    <xf numFmtId="44" fontId="11" fillId="9" borderId="4" xfId="0" applyNumberFormat="1" applyFont="1" applyFill="1" applyBorder="1"/>
    <xf numFmtId="44" fontId="10" fillId="10" borderId="4" xfId="0" applyNumberFormat="1" applyFont="1" applyFill="1" applyBorder="1"/>
    <xf numFmtId="0" fontId="0" fillId="0" borderId="0" xfId="0" applyAlignment="1">
      <alignment horizontal="left"/>
    </xf>
    <xf numFmtId="44" fontId="4" fillId="7" borderId="6" xfId="1" applyFont="1" applyFill="1" applyBorder="1" applyAlignment="1">
      <alignment vertical="center"/>
    </xf>
    <xf numFmtId="0" fontId="12" fillId="8" borderId="1" xfId="0" applyFont="1" applyFill="1" applyBorder="1" applyAlignment="1">
      <alignment horizontal="left" vertical="center"/>
    </xf>
    <xf numFmtId="0" fontId="3" fillId="5" borderId="17" xfId="0" applyFont="1" applyFill="1" applyBorder="1"/>
    <xf numFmtId="44" fontId="4" fillId="7" borderId="6" xfId="1" applyFont="1" applyFill="1" applyBorder="1" applyAlignment="1">
      <alignment horizontal="center" vertical="center"/>
    </xf>
    <xf numFmtId="0" fontId="27" fillId="42" borderId="2" xfId="0" applyFont="1" applyFill="1" applyBorder="1"/>
    <xf numFmtId="0" fontId="28" fillId="43" borderId="3" xfId="0" applyFont="1" applyFill="1" applyBorder="1"/>
    <xf numFmtId="0" fontId="28" fillId="43" borderId="17" xfId="0" applyFont="1" applyFill="1" applyBorder="1"/>
    <xf numFmtId="0" fontId="29" fillId="8" borderId="3" xfId="0" applyFont="1" applyFill="1" applyBorder="1"/>
    <xf numFmtId="0" fontId="12" fillId="8" borderId="18" xfId="0" applyFont="1" applyFill="1" applyBorder="1" applyAlignment="1">
      <alignment horizontal="center" vertical="center"/>
    </xf>
    <xf numFmtId="0" fontId="29" fillId="8" borderId="19" xfId="0" applyFont="1" applyFill="1" applyBorder="1"/>
    <xf numFmtId="44" fontId="8" fillId="3" borderId="20" xfId="1" applyFont="1" applyFill="1" applyBorder="1"/>
    <xf numFmtId="0" fontId="3" fillId="44" borderId="4" xfId="0" applyFont="1" applyFill="1" applyBorder="1"/>
    <xf numFmtId="0" fontId="3" fillId="44" borderId="4" xfId="0" applyFont="1" applyFill="1" applyBorder="1" applyAlignment="1">
      <alignment horizontal="center" vertical="center"/>
    </xf>
    <xf numFmtId="0" fontId="3" fillId="46" borderId="4" xfId="0" applyFont="1" applyFill="1" applyBorder="1"/>
    <xf numFmtId="0" fontId="3" fillId="47" borderId="4" xfId="0" applyFont="1" applyFill="1" applyBorder="1"/>
    <xf numFmtId="0" fontId="7" fillId="3" borderId="19" xfId="0" applyFont="1" applyFill="1" applyBorder="1"/>
    <xf numFmtId="0" fontId="5" fillId="3" borderId="21" xfId="0" applyFont="1" applyFill="1" applyBorder="1" applyAlignment="1">
      <alignment horizontal="left" vertical="center"/>
    </xf>
    <xf numFmtId="44" fontId="11" fillId="9" borderId="22" xfId="0" applyNumberFormat="1" applyFont="1" applyFill="1" applyBorder="1"/>
    <xf numFmtId="44" fontId="8" fillId="3" borderId="22" xfId="1" applyFont="1" applyFill="1" applyBorder="1"/>
    <xf numFmtId="0" fontId="3" fillId="48" borderId="4" xfId="0" applyFont="1" applyFill="1" applyBorder="1"/>
    <xf numFmtId="0" fontId="3" fillId="49" borderId="4" xfId="0" applyFont="1" applyFill="1" applyBorder="1"/>
    <xf numFmtId="0" fontId="24" fillId="0" borderId="0" xfId="0" applyFont="1"/>
    <xf numFmtId="164" fontId="0" fillId="0" borderId="4" xfId="43" applyNumberFormat="1" applyFont="1" applyBorder="1"/>
    <xf numFmtId="164" fontId="0" fillId="48" borderId="4" xfId="43" applyNumberFormat="1" applyFont="1" applyFill="1" applyBorder="1"/>
    <xf numFmtId="164" fontId="0" fillId="0" borderId="0" xfId="43" applyNumberFormat="1" applyFont="1"/>
    <xf numFmtId="164" fontId="3" fillId="47" borderId="4" xfId="43" applyNumberFormat="1" applyFont="1" applyFill="1" applyBorder="1" applyAlignment="1">
      <alignment horizontal="center" vertical="center"/>
    </xf>
    <xf numFmtId="164" fontId="0" fillId="49" borderId="4" xfId="43" applyNumberFormat="1" applyFont="1" applyFill="1" applyBorder="1"/>
    <xf numFmtId="0" fontId="3" fillId="45" borderId="4" xfId="0" applyFont="1" applyFill="1" applyBorder="1"/>
    <xf numFmtId="164" fontId="3" fillId="45" borderId="4" xfId="43" applyNumberFormat="1" applyFont="1" applyFill="1" applyBorder="1"/>
    <xf numFmtId="164" fontId="3" fillId="47" borderId="4" xfId="43" applyNumberFormat="1" applyFont="1" applyFill="1" applyBorder="1"/>
    <xf numFmtId="44" fontId="32" fillId="9" borderId="22" xfId="0" applyNumberFormat="1" applyFont="1" applyFill="1" applyBorder="1"/>
    <xf numFmtId="44" fontId="33" fillId="3" borderId="22" xfId="1" applyFont="1" applyFill="1" applyBorder="1"/>
    <xf numFmtId="44" fontId="4" fillId="7" borderId="6" xfId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left" vertical="center"/>
    </xf>
    <xf numFmtId="44" fontId="4" fillId="7" borderId="6" xfId="1" applyFont="1" applyFill="1" applyBorder="1" applyAlignment="1">
      <alignment horizontal="center" vertical="center"/>
    </xf>
    <xf numFmtId="44" fontId="8" fillId="3" borderId="4" xfId="1" applyNumberFormat="1" applyFont="1" applyFill="1" applyBorder="1"/>
    <xf numFmtId="44" fontId="34" fillId="9" borderId="4" xfId="1" applyNumberFormat="1" applyFont="1" applyFill="1" applyBorder="1"/>
    <xf numFmtId="44" fontId="35" fillId="3" borderId="4" xfId="1" applyNumberFormat="1" applyFont="1" applyFill="1" applyBorder="1"/>
    <xf numFmtId="44" fontId="35" fillId="3" borderId="20" xfId="1" applyFont="1" applyFill="1" applyBorder="1"/>
    <xf numFmtId="0" fontId="36" fillId="3" borderId="1" xfId="0" applyFont="1" applyFill="1" applyBorder="1" applyAlignment="1">
      <alignment horizontal="left" vertical="center"/>
    </xf>
    <xf numFmtId="44" fontId="35" fillId="3" borderId="4" xfId="1" applyFont="1" applyFill="1" applyBorder="1"/>
    <xf numFmtId="0" fontId="37" fillId="50" borderId="0" xfId="0" applyFont="1" applyFill="1"/>
    <xf numFmtId="44" fontId="3" fillId="3" borderId="4" xfId="1" applyFont="1" applyFill="1" applyBorder="1"/>
    <xf numFmtId="44" fontId="4" fillId="7" borderId="6" xfId="1" applyFont="1" applyFill="1" applyBorder="1" applyAlignment="1">
      <alignment horizontal="center" vertical="center"/>
    </xf>
    <xf numFmtId="0" fontId="0" fillId="51" borderId="4" xfId="0" applyFill="1" applyBorder="1"/>
    <xf numFmtId="0" fontId="0" fillId="51" borderId="4" xfId="0" applyFill="1" applyBorder="1" applyAlignment="1">
      <alignment horizontal="center" vertical="center"/>
    </xf>
    <xf numFmtId="0" fontId="0" fillId="51" borderId="4" xfId="0" applyFill="1" applyBorder="1" applyAlignment="1">
      <alignment horizontal="center"/>
    </xf>
    <xf numFmtId="11" fontId="0" fillId="0" borderId="25" xfId="0" applyNumberFormat="1" applyFill="1" applyBorder="1"/>
    <xf numFmtId="11" fontId="0" fillId="0" borderId="26" xfId="0" applyNumberFormat="1" applyFill="1" applyBorder="1"/>
    <xf numFmtId="11" fontId="0" fillId="0" borderId="27" xfId="0" applyNumberFormat="1" applyFill="1" applyBorder="1"/>
    <xf numFmtId="11" fontId="0" fillId="0" borderId="28" xfId="0" applyNumberFormat="1" applyFill="1" applyBorder="1"/>
    <xf numFmtId="2" fontId="0" fillId="0" borderId="4" xfId="0" applyNumberFormat="1" applyFill="1" applyBorder="1"/>
    <xf numFmtId="11" fontId="0" fillId="0" borderId="4" xfId="0" applyNumberFormat="1" applyFill="1" applyBorder="1"/>
    <xf numFmtId="11" fontId="0" fillId="0" borderId="29" xfId="0" applyNumberFormat="1" applyFill="1" applyBorder="1"/>
    <xf numFmtId="2" fontId="0" fillId="0" borderId="22" xfId="0" applyNumberFormat="1" applyFill="1" applyBorder="1"/>
    <xf numFmtId="11" fontId="0" fillId="0" borderId="20" xfId="0" applyNumberFormat="1" applyFill="1" applyBorder="1"/>
    <xf numFmtId="2" fontId="0" fillId="0" borderId="20" xfId="0" applyNumberFormat="1" applyFill="1" applyBorder="1"/>
    <xf numFmtId="2" fontId="0" fillId="0" borderId="30" xfId="0" applyNumberFormat="1" applyFill="1" applyBorder="1"/>
    <xf numFmtId="0" fontId="1" fillId="2" borderId="0" xfId="0" quotePrefix="1" applyNumberFormat="1" applyFont="1" applyFill="1" applyBorder="1" applyAlignment="1" applyProtection="1">
      <alignment wrapText="1"/>
    </xf>
    <xf numFmtId="0" fontId="7" fillId="52" borderId="0" xfId="0" applyFont="1" applyFill="1" applyBorder="1"/>
    <xf numFmtId="0" fontId="40" fillId="0" borderId="0" xfId="0" applyFont="1"/>
    <xf numFmtId="0" fontId="3" fillId="0" borderId="0" xfId="0" applyFont="1"/>
    <xf numFmtId="0" fontId="41" fillId="45" borderId="1" xfId="0" applyFont="1" applyFill="1" applyBorder="1" applyAlignment="1">
      <alignment horizontal="left" vertical="center"/>
    </xf>
    <xf numFmtId="0" fontId="41" fillId="45" borderId="21" xfId="0" applyFont="1" applyFill="1" applyBorder="1" applyAlignment="1">
      <alignment horizontal="left" vertical="center"/>
    </xf>
    <xf numFmtId="0" fontId="3" fillId="0" borderId="20" xfId="0" applyNumberFormat="1" applyFont="1" applyFill="1" applyBorder="1"/>
    <xf numFmtId="44" fontId="8" fillId="53" borderId="4" xfId="1" applyFont="1" applyFill="1" applyBorder="1"/>
    <xf numFmtId="0" fontId="7" fillId="54" borderId="3" xfId="0" applyFont="1" applyFill="1" applyBorder="1"/>
    <xf numFmtId="0" fontId="42" fillId="55" borderId="3" xfId="0" applyFont="1" applyFill="1" applyBorder="1"/>
    <xf numFmtId="0" fontId="42" fillId="0" borderId="3" xfId="0" applyFont="1" applyFill="1" applyBorder="1"/>
    <xf numFmtId="0" fontId="0" fillId="0" borderId="0" xfId="0" applyFill="1"/>
    <xf numFmtId="0" fontId="40" fillId="0" borderId="0" xfId="0" applyFont="1" applyFill="1"/>
    <xf numFmtId="44" fontId="4" fillId="0" borderId="24" xfId="1" applyFont="1" applyFill="1" applyBorder="1" applyAlignment="1">
      <alignment vertical="center"/>
    </xf>
    <xf numFmtId="0" fontId="0" fillId="56" borderId="0" xfId="0" applyFill="1"/>
    <xf numFmtId="0" fontId="42" fillId="55" borderId="21" xfId="0" applyFont="1" applyFill="1" applyBorder="1"/>
    <xf numFmtId="44" fontId="8" fillId="3" borderId="22" xfId="1" applyNumberFormat="1" applyFont="1" applyFill="1" applyBorder="1"/>
    <xf numFmtId="44" fontId="8" fillId="3" borderId="30" xfId="1" applyFont="1" applyFill="1" applyBorder="1"/>
    <xf numFmtId="44" fontId="8" fillId="3" borderId="31" xfId="1" applyNumberFormat="1" applyFont="1" applyFill="1" applyBorder="1"/>
    <xf numFmtId="0" fontId="7" fillId="54" borderId="32" xfId="0" applyFont="1" applyFill="1" applyBorder="1"/>
    <xf numFmtId="0" fontId="5" fillId="3" borderId="33" xfId="0" applyFont="1" applyFill="1" applyBorder="1" applyAlignment="1">
      <alignment horizontal="left" vertical="center"/>
    </xf>
    <xf numFmtId="44" fontId="8" fillId="3" borderId="26" xfId="1" applyFont="1" applyFill="1" applyBorder="1"/>
    <xf numFmtId="44" fontId="8" fillId="3" borderId="26" xfId="1" applyNumberFormat="1" applyFont="1" applyFill="1" applyBorder="1"/>
    <xf numFmtId="44" fontId="8" fillId="3" borderId="27" xfId="1" applyFont="1" applyFill="1" applyBorder="1"/>
    <xf numFmtId="44" fontId="4" fillId="0" borderId="0" xfId="1" applyFont="1" applyFill="1" applyBorder="1" applyAlignment="1">
      <alignment vertical="center"/>
    </xf>
    <xf numFmtId="44" fontId="30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44" fontId="34" fillId="0" borderId="0" xfId="1" applyNumberFormat="1" applyFont="1" applyFill="1" applyBorder="1"/>
    <xf numFmtId="44" fontId="35" fillId="0" borderId="0" xfId="1" applyNumberFormat="1" applyFont="1" applyFill="1" applyBorder="1"/>
    <xf numFmtId="0" fontId="0" fillId="0" borderId="0" xfId="0" applyFill="1" applyBorder="1"/>
    <xf numFmtId="44" fontId="4" fillId="56" borderId="0" xfId="1" applyFont="1" applyFill="1" applyBorder="1" applyAlignment="1">
      <alignment vertical="center"/>
    </xf>
    <xf numFmtId="44" fontId="43" fillId="57" borderId="0" xfId="0" applyNumberFormat="1" applyFont="1" applyFill="1" applyBorder="1" applyAlignment="1">
      <alignment horizontal="center" vertical="center"/>
    </xf>
    <xf numFmtId="0" fontId="36" fillId="56" borderId="0" xfId="0" applyFont="1" applyFill="1" applyBorder="1" applyAlignment="1">
      <alignment horizontal="left" vertical="center"/>
    </xf>
    <xf numFmtId="44" fontId="34" fillId="58" borderId="0" xfId="1" applyNumberFormat="1" applyFont="1" applyFill="1" applyBorder="1"/>
    <xf numFmtId="44" fontId="35" fillId="56" borderId="0" xfId="1" applyNumberFormat="1" applyFont="1" applyFill="1" applyBorder="1"/>
    <xf numFmtId="44" fontId="35" fillId="56" borderId="0" xfId="1" applyFont="1" applyFill="1" applyBorder="1"/>
    <xf numFmtId="0" fontId="0" fillId="56" borderId="0" xfId="0" applyFill="1" applyBorder="1"/>
    <xf numFmtId="0" fontId="36" fillId="3" borderId="21" xfId="0" applyFont="1" applyFill="1" applyBorder="1" applyAlignment="1">
      <alignment horizontal="left" vertical="center"/>
    </xf>
    <xf numFmtId="44" fontId="35" fillId="3" borderId="22" xfId="1" applyFont="1" applyFill="1" applyBorder="1"/>
    <xf numFmtId="44" fontId="35" fillId="3" borderId="22" xfId="1" applyNumberFormat="1" applyFont="1" applyFill="1" applyBorder="1"/>
    <xf numFmtId="44" fontId="4" fillId="56" borderId="0" xfId="1" applyFont="1" applyFill="1" applyBorder="1" applyAlignment="1">
      <alignment horizontal="center" vertical="center"/>
    </xf>
    <xf numFmtId="0" fontId="5" fillId="56" borderId="0" xfId="0" applyFont="1" applyFill="1" applyBorder="1" applyAlignment="1">
      <alignment horizontal="left" vertical="center"/>
    </xf>
    <xf numFmtId="44" fontId="8" fillId="56" borderId="0" xfId="1" applyFont="1" applyFill="1" applyBorder="1"/>
    <xf numFmtId="44" fontId="8" fillId="56" borderId="0" xfId="1" applyNumberFormat="1" applyFont="1" applyFill="1" applyBorder="1"/>
    <xf numFmtId="0" fontId="40" fillId="56" borderId="0" xfId="0" applyFont="1" applyFill="1" applyBorder="1"/>
    <xf numFmtId="44" fontId="30" fillId="56" borderId="0" xfId="0" applyNumberFormat="1" applyFont="1" applyFill="1" applyBorder="1" applyAlignment="1">
      <alignment horizontal="center" vertical="center"/>
    </xf>
    <xf numFmtId="0" fontId="41" fillId="56" borderId="0" xfId="0" applyFont="1" applyFill="1" applyBorder="1" applyAlignment="1">
      <alignment horizontal="left" vertical="center"/>
    </xf>
    <xf numFmtId="44" fontId="11" fillId="0" borderId="22" xfId="0" applyNumberFormat="1" applyFont="1" applyFill="1" applyBorder="1"/>
    <xf numFmtId="44" fontId="8" fillId="0" borderId="22" xfId="1" applyFont="1" applyFill="1" applyBorder="1"/>
    <xf numFmtId="44" fontId="11" fillId="58" borderId="0" xfId="0" applyNumberFormat="1" applyFont="1" applyFill="1" applyBorder="1"/>
    <xf numFmtId="44" fontId="10" fillId="10" borderId="22" xfId="0" applyNumberFormat="1" applyFont="1" applyFill="1" applyBorder="1"/>
    <xf numFmtId="44" fontId="11" fillId="56" borderId="0" xfId="0" applyNumberFormat="1" applyFont="1" applyFill="1" applyBorder="1"/>
    <xf numFmtId="44" fontId="10" fillId="56" borderId="0" xfId="0" applyNumberFormat="1" applyFont="1" applyFill="1" applyBorder="1"/>
    <xf numFmtId="0" fontId="3" fillId="0" borderId="30" xfId="0" applyNumberFormat="1" applyFont="1" applyFill="1" applyBorder="1"/>
    <xf numFmtId="44" fontId="4" fillId="5" borderId="0" xfId="1" applyFont="1" applyFill="1" applyBorder="1" applyAlignment="1">
      <alignment horizontal="center" vertical="center"/>
    </xf>
    <xf numFmtId="4" fontId="0" fillId="0" borderId="0" xfId="0" applyNumberFormat="1"/>
    <xf numFmtId="0" fontId="5" fillId="59" borderId="1" xfId="0" applyFont="1" applyFill="1" applyBorder="1" applyAlignment="1">
      <alignment horizontal="left" vertical="center"/>
    </xf>
    <xf numFmtId="0" fontId="12" fillId="60" borderId="1" xfId="0" applyFont="1" applyFill="1" applyBorder="1" applyAlignment="1">
      <alignment horizontal="left" vertical="center"/>
    </xf>
    <xf numFmtId="0" fontId="7" fillId="61" borderId="3" xfId="0" applyFont="1" applyFill="1" applyBorder="1"/>
    <xf numFmtId="44" fontId="44" fillId="3" borderId="22" xfId="1" applyFont="1" applyFill="1" applyBorder="1"/>
    <xf numFmtId="44" fontId="44" fillId="3" borderId="30" xfId="1" applyFont="1" applyFill="1" applyBorder="1"/>
    <xf numFmtId="44" fontId="44" fillId="3" borderId="4" xfId="1" applyFont="1" applyFill="1" applyBorder="1"/>
    <xf numFmtId="44" fontId="44" fillId="3" borderId="20" xfId="1" applyFont="1" applyFill="1" applyBorder="1"/>
    <xf numFmtId="44" fontId="7" fillId="54" borderId="3" xfId="0" applyNumberFormat="1" applyFont="1" applyFill="1" applyBorder="1"/>
    <xf numFmtId="0" fontId="42" fillId="44" borderId="3" xfId="0" applyFont="1" applyFill="1" applyBorder="1"/>
    <xf numFmtId="0" fontId="7" fillId="62" borderId="3" xfId="0" applyFont="1" applyFill="1" applyBorder="1"/>
    <xf numFmtId="0" fontId="0" fillId="0" borderId="34" xfId="0" applyBorder="1"/>
    <xf numFmtId="44" fontId="4" fillId="7" borderId="35" xfId="1" applyFont="1" applyFill="1" applyBorder="1" applyAlignment="1">
      <alignment horizontal="center" vertical="center"/>
    </xf>
    <xf numFmtId="44" fontId="45" fillId="9" borderId="4" xfId="1" applyNumberFormat="1" applyFont="1" applyFill="1" applyBorder="1"/>
    <xf numFmtId="44" fontId="45" fillId="9" borderId="4" xfId="0" applyNumberFormat="1" applyFont="1" applyFill="1" applyBorder="1"/>
    <xf numFmtId="44" fontId="4" fillId="5" borderId="6" xfId="1" applyFont="1" applyFill="1" applyBorder="1" applyAlignment="1">
      <alignment horizontal="center" vertical="center"/>
    </xf>
    <xf numFmtId="44" fontId="4" fillId="5" borderId="7" xfId="1" applyFont="1" applyFill="1" applyBorder="1" applyAlignment="1">
      <alignment horizontal="center" vertical="center"/>
    </xf>
    <xf numFmtId="44" fontId="4" fillId="5" borderId="24" xfId="1" applyFont="1" applyFill="1" applyBorder="1" applyAlignment="1">
      <alignment horizontal="center" vertical="center"/>
    </xf>
    <xf numFmtId="44" fontId="4" fillId="5" borderId="23" xfId="1" applyFont="1" applyFill="1" applyBorder="1" applyAlignment="1">
      <alignment horizontal="center" vertical="center"/>
    </xf>
    <xf numFmtId="44" fontId="4" fillId="5" borderId="5" xfId="1" applyFont="1" applyFill="1" applyBorder="1" applyAlignment="1">
      <alignment horizontal="center" vertical="center"/>
    </xf>
  </cellXfs>
  <cellStyles count="44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43" builtinId="3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45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FFC7C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000000"/>
          <bgColor theme="3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évoulition de la marge Brut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2025'!$B$24</c:f>
              <c:strCache>
                <c:ptCount val="1"/>
                <c:pt idx="0">
                  <c:v>Marge Brut 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2025'!$C$18:$N$18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2025'!$C$24:$N$24</c:f>
              <c:numCache>
                <c:formatCode>_("€"* #,##0.00_);_("€"* \(#,##0.00\);_("€"* "-"??_);_(@_)</c:formatCode>
                <c:ptCount val="12"/>
                <c:pt idx="0">
                  <c:v>30545.704477611944</c:v>
                </c:pt>
                <c:pt idx="1">
                  <c:v>68807.822089552239</c:v>
                </c:pt>
                <c:pt idx="2">
                  <c:v>81082.403283582069</c:v>
                </c:pt>
                <c:pt idx="3">
                  <c:v>74690.392238805973</c:v>
                </c:pt>
                <c:pt idx="4">
                  <c:v>71327.262985074631</c:v>
                </c:pt>
                <c:pt idx="5">
                  <c:v>69885.317611940307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C-4DA1-9E2F-D1DECA3B656F}"/>
            </c:ext>
          </c:extLst>
        </c:ser>
        <c:ser>
          <c:idx val="1"/>
          <c:order val="1"/>
          <c:tx>
            <c:strRef>
              <c:f>'Synthèse 2025'!$B$14</c:f>
              <c:strCache>
                <c:ptCount val="1"/>
                <c:pt idx="0">
                  <c:v>Marge Brut ITDEVTEAM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2025'!$C$18:$N$18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2025'!$C$14:$N$14</c:f>
              <c:numCache>
                <c:formatCode>_("€"* #,##0.00_);_("€"* \(#,##0.00\);_("€"* "-"??_);_(@_)</c:formatCode>
                <c:ptCount val="12"/>
                <c:pt idx="0">
                  <c:v>10299.808955223882</c:v>
                </c:pt>
                <c:pt idx="1">
                  <c:v>12819.808955223882</c:v>
                </c:pt>
                <c:pt idx="2">
                  <c:v>12565.070447761194</c:v>
                </c:pt>
                <c:pt idx="3">
                  <c:v>13129.808955223882</c:v>
                </c:pt>
                <c:pt idx="4">
                  <c:v>12805.079402985075</c:v>
                </c:pt>
                <c:pt idx="5">
                  <c:v>11409.808955223882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C-4DA1-9E2F-D1DECA3B656F}"/>
            </c:ext>
          </c:extLst>
        </c:ser>
        <c:ser>
          <c:idx val="2"/>
          <c:order val="2"/>
          <c:tx>
            <c:strRef>
              <c:f>'Synthèse 2025'!$B$19</c:f>
              <c:strCache>
                <c:ptCount val="1"/>
                <c:pt idx="0">
                  <c:v>Marge Brut EZEEGENAI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2025'!$C$18:$N$18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2025'!$C$19:$N$19</c:f>
              <c:numCache>
                <c:formatCode>_("€"* #,##0.00_);_("€"* \(#,##0.00\);_("€"* "-"??_);_(@_)</c:formatCode>
                <c:ptCount val="12"/>
                <c:pt idx="0">
                  <c:v>20245.895522388062</c:v>
                </c:pt>
                <c:pt idx="1">
                  <c:v>55988.013134328357</c:v>
                </c:pt>
                <c:pt idx="2">
                  <c:v>68517.332835820882</c:v>
                </c:pt>
                <c:pt idx="3">
                  <c:v>61560.583283582084</c:v>
                </c:pt>
                <c:pt idx="4">
                  <c:v>58522.18358208955</c:v>
                </c:pt>
                <c:pt idx="5">
                  <c:v>58475.508656716425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C-4DA1-9E2F-D1DECA3B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60288"/>
        <c:axId val="855959040"/>
      </c:barChart>
      <c:catAx>
        <c:axId val="85596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5959040"/>
        <c:crosses val="autoZero"/>
        <c:auto val="1"/>
        <c:lblAlgn val="ctr"/>
        <c:lblOffset val="100"/>
        <c:noMultiLvlLbl val="0"/>
      </c:catAx>
      <c:valAx>
        <c:axId val="855959040"/>
        <c:scaling>
          <c:orientation val="minMax"/>
        </c:scaling>
        <c:delete val="0"/>
        <c:axPos val="l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59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cap="all" baseline="0">
                <a:effectLst/>
              </a:rPr>
              <a:t>évoulition de la marge NETTE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2025'!$B$15</c:f>
              <c:strCache>
                <c:ptCount val="1"/>
                <c:pt idx="0">
                  <c:v>Marge Nette ITDEVTEAM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2025'!$C$13:$N$13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2025'!$C$15:$N$15</c:f>
              <c:numCache>
                <c:formatCode>_("€"* #,##0.00_);_("€"* \(#,##0.00\);_("€"* "-"??_);_(@_)</c:formatCode>
                <c:ptCount val="12"/>
                <c:pt idx="0">
                  <c:v>8634.4713432835833</c:v>
                </c:pt>
                <c:pt idx="1">
                  <c:v>10440.268358208956</c:v>
                </c:pt>
                <c:pt idx="2">
                  <c:v>5248.3029850746279</c:v>
                </c:pt>
                <c:pt idx="3">
                  <c:v>10600.595820895524</c:v>
                </c:pt>
                <c:pt idx="4">
                  <c:v>7257.4811940298514</c:v>
                </c:pt>
                <c:pt idx="5">
                  <c:v>8225.9283582089556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C-43D1-9690-97BECEAFD0E7}"/>
            </c:ext>
          </c:extLst>
        </c:ser>
        <c:ser>
          <c:idx val="1"/>
          <c:order val="1"/>
          <c:tx>
            <c:strRef>
              <c:f>'Synthèse 2025'!$B$20</c:f>
              <c:strCache>
                <c:ptCount val="1"/>
                <c:pt idx="0">
                  <c:v>Marge Nette EZEEGENAI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2025'!$C$13:$N$13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2025'!$C$20:$N$20</c:f>
              <c:numCache>
                <c:formatCode>_("€"* #,##0.00_);_("€"* \(#,##0.00\);_("€"* "-"??_);_(@_)</c:formatCode>
                <c:ptCount val="12"/>
                <c:pt idx="0">
                  <c:v>19442.202686567165</c:v>
                </c:pt>
                <c:pt idx="1">
                  <c:v>54547.411940298509</c:v>
                </c:pt>
                <c:pt idx="2">
                  <c:v>65861.999999999985</c:v>
                </c:pt>
                <c:pt idx="3">
                  <c:v>47703.764776119395</c:v>
                </c:pt>
                <c:pt idx="4">
                  <c:v>50857.896119402983</c:v>
                </c:pt>
                <c:pt idx="5">
                  <c:v>58122.747462686573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C-43D1-9690-97BECEAFD0E7}"/>
            </c:ext>
          </c:extLst>
        </c:ser>
        <c:ser>
          <c:idx val="2"/>
          <c:order val="2"/>
          <c:tx>
            <c:strRef>
              <c:f>'Synthèse 2025'!$B$25</c:f>
              <c:strCache>
                <c:ptCount val="1"/>
                <c:pt idx="0">
                  <c:v>Marge Nette totale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2025'!$C$13:$N$13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2025'!$C$25:$N$25</c:f>
              <c:numCache>
                <c:formatCode>_("€"* #,##0.00_);_("€"* \(#,##0.00\);_("€"* "-"??_);_(@_)</c:formatCode>
                <c:ptCount val="12"/>
                <c:pt idx="0">
                  <c:v>28076.67402985075</c:v>
                </c:pt>
                <c:pt idx="1">
                  <c:v>64987.680298507461</c:v>
                </c:pt>
                <c:pt idx="2">
                  <c:v>71110.30298507461</c:v>
                </c:pt>
                <c:pt idx="3">
                  <c:v>58304.360597014922</c:v>
                </c:pt>
                <c:pt idx="4">
                  <c:v>58115.377313432837</c:v>
                </c:pt>
                <c:pt idx="5">
                  <c:v>66348.675820895529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C-43D1-9690-97BECEAFD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450512"/>
        <c:axId val="268457168"/>
      </c:barChart>
      <c:catAx>
        <c:axId val="2684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457168"/>
        <c:crosses val="autoZero"/>
        <c:auto val="1"/>
        <c:lblAlgn val="ctr"/>
        <c:lblOffset val="100"/>
        <c:noMultiLvlLbl val="0"/>
      </c:catAx>
      <c:valAx>
        <c:axId val="2684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45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79755</xdr:colOff>
      <xdr:row>33</xdr:row>
      <xdr:rowOff>11288</xdr:rowOff>
    </xdr:from>
    <xdr:to>
      <xdr:col>8</xdr:col>
      <xdr:colOff>171175</xdr:colOff>
      <xdr:row>47</xdr:row>
      <xdr:rowOff>110434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259521</xdr:colOff>
      <xdr:row>33</xdr:row>
      <xdr:rowOff>1</xdr:rowOff>
    </xdr:from>
    <xdr:to>
      <xdr:col>16</xdr:col>
      <xdr:colOff>351772</xdr:colOff>
      <xdr:row>47</xdr:row>
      <xdr:rowOff>104913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eau111" displayName="Tableau111" ref="D19:H33" totalsRowShown="0" headerRowDxfId="455" dataDxfId="453" headerRowBorderDxfId="454" tableBorderDxfId="452" totalsRowBorderDxfId="451">
  <autoFilter ref="D19:H33"/>
  <tableColumns count="5">
    <tableColumn id="1" name="consultant" dataDxfId="450"/>
    <tableColumn id="2" name="tjm client" dataDxfId="449"/>
    <tableColumn id="3" name="tjm fournisseur" dataDxfId="448"/>
    <tableColumn id="5" name="aporteur affaire" dataDxfId="447"/>
    <tableColumn id="4" name="marge / jours" dataDxfId="446">
      <calculatedColumnFormula>Tableau111[[#This Row],[tjm client]]-Tableau111[[#This Row],[tjm fournisseur]]-Tableau111[[#This Row],[aporteur affaire]]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Tableau9" displayName="Tableau9" ref="C4:H20" totalsRowShown="0" dataDxfId="75" tableBorderDxfId="74" dataCellStyle="Monétaire">
  <autoFilter ref="C4:H20"/>
  <tableColumns count="6">
    <tableColumn id="1" name="Société" totalsRowDxfId="73"/>
    <tableColumn id="2" name="consultant" dataDxfId="72" totalsRowDxfId="71"/>
    <tableColumn id="3" name="facturation client HT" dataDxfId="70" totalsRowDxfId="69" dataCellStyle="Monétaire"/>
    <tableColumn id="4" name="facturation Fournisseur HT" dataDxfId="68" totalsRowDxfId="67" dataCellStyle="Monétaire">
      <calculatedColumnFormula>3000/3.35</calculatedColumnFormula>
    </tableColumn>
    <tableColumn id="5" name=" Salaire NET" dataDxfId="66" totalsRowDxfId="65" dataCellStyle="Monétaire"/>
    <tableColumn id="6" name="Marge nette" dataDxfId="64" totalsRowDxfId="63" dataCellStyle="Monétaire">
      <calculatedColumnFormula>Tableau9[[#This Row],[facturation client HT]]-(Tableau9[[#This Row],[facturation Fournisseur HT]]+Tableau9[[#This Row],[ Salaire NET]])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11" displayName="Tableau11" ref="C4:H19" totalsRowShown="0" tableBorderDxfId="38">
  <autoFilter ref="C4:H19"/>
  <tableColumns count="6">
    <tableColumn id="1" name="Société" dataDxfId="37"/>
    <tableColumn id="2" name="consultant" dataDxfId="36"/>
    <tableColumn id="3" name="facturation client HT" dataDxfId="35"/>
    <tableColumn id="4" name="facturation Fournisseur HT" dataDxfId="34" dataCellStyle="Monétaire"/>
    <tableColumn id="5" name=" Salaire NET" dataDxfId="33" dataCellStyle="Monétaire"/>
    <tableColumn id="6" name="Marge nette" dataDxfId="32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eau8" displayName="Tableau8" ref="C4:H8" totalsRowShown="0" dataDxfId="391" tableBorderDxfId="390" dataCellStyle="Monétaire">
  <autoFilter ref="C4:H8"/>
  <tableColumns count="6">
    <tableColumn id="1" name="Société" dataDxfId="389" dataCellStyle="Monétaire"/>
    <tableColumn id="2" name="consultant" dataDxfId="388"/>
    <tableColumn id="3" name="facturation client HT" dataDxfId="387" dataCellStyle="Monétaire"/>
    <tableColumn id="4" name="facturation Fournisseur HT" dataDxfId="386" dataCellStyle="Monétaire"/>
    <tableColumn id="5" name=" Salaire NET" dataDxfId="385" dataCellStyle="Monétaire"/>
    <tableColumn id="6" name="Marge nette" dataDxfId="384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eau7" displayName="Tableau7" ref="C4:H27" totalsRowShown="0" dataDxfId="361" tableBorderDxfId="360" dataCellStyle="Monétaire">
  <autoFilter ref="C4:H27"/>
  <tableColumns count="6">
    <tableColumn id="1" name="Société" dataDxfId="359" dataCellStyle="Monétaire"/>
    <tableColumn id="2" name="consultant" dataDxfId="358"/>
    <tableColumn id="3" name="facturation client HT" dataDxfId="357" dataCellStyle="Monétaire"/>
    <tableColumn id="4" name="facturation Fournisseur HT" dataDxfId="356" dataCellStyle="Monétaire"/>
    <tableColumn id="5" name=" Salaire NET" dataDxfId="355" dataCellStyle="Monétaire"/>
    <tableColumn id="6" name="Marge nette" dataDxfId="354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6" displayName="Tableau6" ref="C4:H30" totalsRowShown="0" dataDxfId="321" tableBorderDxfId="320" dataCellStyle="Monétaire">
  <autoFilter ref="C4:H30"/>
  <tableColumns count="6">
    <tableColumn id="1" name="Société" dataDxfId="319" totalsRowDxfId="318" dataCellStyle="Monétaire"/>
    <tableColumn id="2" name="consultant" dataDxfId="317" totalsRowDxfId="316"/>
    <tableColumn id="3" name="facturation client HT" dataDxfId="315" totalsRowDxfId="314" dataCellStyle="Monétaire"/>
    <tableColumn id="4" name="facturation Fournisseur HT" dataDxfId="313" totalsRowDxfId="312" dataCellStyle="Monétaire"/>
    <tableColumn id="5" name=" Salaire NET" dataDxfId="311" totalsRowDxfId="310" dataCellStyle="Monétaire"/>
    <tableColumn id="6" name="Marge nette" dataDxfId="309" totalsRowDxfId="308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C4:H34" totalsRowShown="0" tableBorderDxfId="285">
  <autoFilter ref="C4:H34"/>
  <tableColumns count="6">
    <tableColumn id="1" name="Société" dataDxfId="284"/>
    <tableColumn id="2" name="consultant" dataDxfId="283"/>
    <tableColumn id="3" name="facturation client HT" dataDxfId="282"/>
    <tableColumn id="4" name="facturation Fournisseur HT" dataDxfId="281" dataCellStyle="Monétaire"/>
    <tableColumn id="5" name=" Salaire NET" dataDxfId="280" dataCellStyle="Monétaire"/>
    <tableColumn id="6" name="Marge nette" dataDxfId="279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eau4" displayName="Tableau4" ref="C4:H31" totalsRowShown="0" tableBorderDxfId="242">
  <autoFilter ref="C4:H31"/>
  <tableColumns count="6">
    <tableColumn id="1" name="Société" dataDxfId="241"/>
    <tableColumn id="2" name="consultant" dataDxfId="240"/>
    <tableColumn id="3" name="facturation client HT" dataDxfId="239"/>
    <tableColumn id="4" name="facturation Fournisseur HT" dataDxfId="238" dataCellStyle="Monétaire"/>
    <tableColumn id="5" name=" Salaire NET" dataDxfId="237" dataCellStyle="Monétaire"/>
    <tableColumn id="6" name="Marge nette" dataDxfId="236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leau3" displayName="Tableau3" ref="C4:H32" totalsRowShown="0" dataDxfId="191" tableBorderDxfId="190" dataCellStyle="Monétaire">
  <autoFilter ref="C4:H32"/>
  <tableColumns count="6">
    <tableColumn id="1" name="Société" dataDxfId="189"/>
    <tableColumn id="2" name="consultant" dataDxfId="188"/>
    <tableColumn id="3" name="facturation client HT" dataDxfId="187" dataCellStyle="Monétaire"/>
    <tableColumn id="4" name="facturation Fournisseur HT" dataDxfId="186" dataCellStyle="Monétaire"/>
    <tableColumn id="5" name=" Salaire NET" dataDxfId="185" dataCellStyle="Monétaire"/>
    <tableColumn id="6" name="Marge nette" dataDxfId="184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au2" displayName="Tableau2" ref="C5:H20" totalsRowShown="0" tableBorderDxfId="147">
  <autoFilter ref="C5:H20"/>
  <tableColumns count="6">
    <tableColumn id="1" name="Société" dataDxfId="146"/>
    <tableColumn id="2" name="consultant" dataDxfId="145"/>
    <tableColumn id="3" name="facturation client HT" dataDxfId="144"/>
    <tableColumn id="4" name="facturation Fournisseur HT" dataDxfId="143" dataCellStyle="Monétaire"/>
    <tableColumn id="5" name=" Salaire NET" dataDxfId="142" dataCellStyle="Monétaire"/>
    <tableColumn id="6" name="Marge nette" dataDxfId="141" dataCellStyle="Monétaire">
      <calculatedColumnFormula>E6-(F6+G6)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" name="Tableau1" displayName="Tableau1" ref="C4:H19" totalsRowShown="0" tableBorderDxfId="110">
  <autoFilter ref="C4:H19"/>
  <tableColumns count="6">
    <tableColumn id="1" name="Société" dataDxfId="109"/>
    <tableColumn id="2" name="consultant" dataDxfId="108"/>
    <tableColumn id="3" name="facturation client HT" dataDxfId="107"/>
    <tableColumn id="4" name="facturation Fournisseur HT" dataDxfId="106" dataCellStyle="Monétaire"/>
    <tableColumn id="5" name=" Salaire NET" dataDxfId="105" dataCellStyle="Monétaire"/>
    <tableColumn id="6" name="Marge nette" dataDxfId="104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0.xml"/><Relationship Id="rId1" Type="http://schemas.openxmlformats.org/officeDocument/2006/relationships/vmlDrawing" Target="../drawings/vmlDrawing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A7" workbookViewId="0">
      <selection activeCell="C35" sqref="C35"/>
    </sheetView>
  </sheetViews>
  <sheetFormatPr baseColWidth="10" defaultRowHeight="14.4" x14ac:dyDescent="0.3"/>
  <cols>
    <col min="1" max="1" width="18.5546875" bestFit="1" customWidth="1"/>
    <col min="3" max="3" width="22.33203125" bestFit="1" customWidth="1"/>
    <col min="4" max="4" width="24.109375" bestFit="1" customWidth="1"/>
    <col min="5" max="5" width="11.77734375" bestFit="1" customWidth="1"/>
    <col min="6" max="6" width="16" bestFit="1" customWidth="1"/>
    <col min="7" max="7" width="16.44140625" bestFit="1" customWidth="1"/>
    <col min="8" max="8" width="14.33203125" bestFit="1" customWidth="1"/>
    <col min="9" max="9" width="10.6640625" bestFit="1" customWidth="1"/>
    <col min="10" max="10" width="18.33203125" bestFit="1" customWidth="1"/>
    <col min="11" max="11" width="11.77734375" bestFit="1" customWidth="1"/>
  </cols>
  <sheetData>
    <row r="2" spans="1:11" x14ac:dyDescent="0.3">
      <c r="A2" s="76" t="s">
        <v>117</v>
      </c>
    </row>
    <row r="3" spans="1:11" x14ac:dyDescent="0.3">
      <c r="C3" s="59"/>
      <c r="D3" s="59" t="s">
        <v>32</v>
      </c>
      <c r="E3" s="59"/>
      <c r="I3" s="59"/>
      <c r="J3" s="59" t="s">
        <v>81</v>
      </c>
      <c r="K3" s="59"/>
    </row>
    <row r="4" spans="1:11" x14ac:dyDescent="0.3">
      <c r="C4" s="60" t="s">
        <v>82</v>
      </c>
      <c r="D4" s="59"/>
      <c r="E4" s="60" t="s">
        <v>83</v>
      </c>
      <c r="I4" s="61" t="s">
        <v>82</v>
      </c>
      <c r="J4" s="59"/>
      <c r="K4" s="61" t="s">
        <v>83</v>
      </c>
    </row>
    <row r="5" spans="1:11" x14ac:dyDescent="0.3">
      <c r="C5" s="59" t="s">
        <v>84</v>
      </c>
      <c r="D5" s="59" t="s">
        <v>85</v>
      </c>
      <c r="E5" s="59" t="s">
        <v>86</v>
      </c>
      <c r="I5" s="59" t="s">
        <v>87</v>
      </c>
      <c r="J5" s="59" t="s">
        <v>70</v>
      </c>
      <c r="K5" s="59" t="s">
        <v>88</v>
      </c>
    </row>
    <row r="6" spans="1:11" x14ac:dyDescent="0.3">
      <c r="C6" s="59" t="s">
        <v>89</v>
      </c>
      <c r="D6" s="59" t="s">
        <v>90</v>
      </c>
      <c r="E6" s="59" t="s">
        <v>88</v>
      </c>
      <c r="I6" s="59" t="s">
        <v>91</v>
      </c>
      <c r="J6" s="59" t="s">
        <v>92</v>
      </c>
      <c r="K6" s="59" t="s">
        <v>86</v>
      </c>
    </row>
    <row r="7" spans="1:11" x14ac:dyDescent="0.3">
      <c r="C7" s="59" t="s">
        <v>93</v>
      </c>
      <c r="D7" s="59" t="s">
        <v>78</v>
      </c>
      <c r="E7" s="59" t="s">
        <v>88</v>
      </c>
      <c r="I7" s="59" t="s">
        <v>94</v>
      </c>
      <c r="J7" s="59" t="s">
        <v>22</v>
      </c>
      <c r="K7" s="59" t="s">
        <v>86</v>
      </c>
    </row>
    <row r="8" spans="1:11" x14ac:dyDescent="0.3">
      <c r="C8" s="59" t="s">
        <v>95</v>
      </c>
      <c r="D8" s="59" t="s">
        <v>96</v>
      </c>
      <c r="E8" s="59" t="s">
        <v>88</v>
      </c>
      <c r="I8" s="59" t="s">
        <v>28</v>
      </c>
      <c r="J8" s="59" t="s">
        <v>97</v>
      </c>
      <c r="K8" s="59" t="s">
        <v>86</v>
      </c>
    </row>
    <row r="9" spans="1:11" x14ac:dyDescent="0.3">
      <c r="C9" s="59" t="s">
        <v>98</v>
      </c>
      <c r="D9" s="59" t="s">
        <v>79</v>
      </c>
      <c r="E9" s="59" t="s">
        <v>88</v>
      </c>
      <c r="I9" s="59" t="s">
        <v>87</v>
      </c>
      <c r="J9" s="59" t="s">
        <v>99</v>
      </c>
      <c r="K9" s="59" t="s">
        <v>100</v>
      </c>
    </row>
    <row r="10" spans="1:11" x14ac:dyDescent="0.3">
      <c r="C10" s="59" t="s">
        <v>89</v>
      </c>
      <c r="D10" s="59" t="s">
        <v>101</v>
      </c>
      <c r="E10" s="59" t="s">
        <v>88</v>
      </c>
    </row>
    <row r="11" spans="1:11" x14ac:dyDescent="0.3">
      <c r="C11" s="59" t="s">
        <v>102</v>
      </c>
      <c r="D11" s="59" t="s">
        <v>27</v>
      </c>
      <c r="E11" s="59" t="s">
        <v>88</v>
      </c>
    </row>
    <row r="12" spans="1:11" x14ac:dyDescent="0.3">
      <c r="C12" s="59" t="s">
        <v>103</v>
      </c>
      <c r="D12" s="59" t="s">
        <v>30</v>
      </c>
      <c r="E12" s="59" t="s">
        <v>88</v>
      </c>
    </row>
    <row r="19" spans="4:8" x14ac:dyDescent="0.3">
      <c r="D19" s="62" t="s">
        <v>0</v>
      </c>
      <c r="E19" s="63" t="s">
        <v>104</v>
      </c>
      <c r="F19" s="63" t="s">
        <v>105</v>
      </c>
      <c r="G19" s="64" t="s">
        <v>109</v>
      </c>
      <c r="H19" s="64" t="s">
        <v>106</v>
      </c>
    </row>
    <row r="20" spans="4:8" x14ac:dyDescent="0.3">
      <c r="D20" s="65" t="s">
        <v>85</v>
      </c>
      <c r="E20" s="66">
        <v>50</v>
      </c>
      <c r="F20" s="67"/>
      <c r="G20" s="70"/>
      <c r="H20" s="79">
        <f>Tableau111[[#This Row],[tjm client]]-Tableau111[[#This Row],[tjm fournisseur]]-Tableau111[[#This Row],[aporteur affaire]]</f>
        <v>50</v>
      </c>
    </row>
    <row r="21" spans="4:8" x14ac:dyDescent="0.3">
      <c r="D21" s="65" t="s">
        <v>90</v>
      </c>
      <c r="E21" s="66">
        <v>290</v>
      </c>
      <c r="F21" s="66">
        <v>160</v>
      </c>
      <c r="G21" s="71"/>
      <c r="H21" s="79">
        <f>Tableau111[[#This Row],[tjm client]]-Tableau111[[#This Row],[tjm fournisseur]]-Tableau111[[#This Row],[aporteur affaire]]</f>
        <v>130</v>
      </c>
    </row>
    <row r="22" spans="4:8" x14ac:dyDescent="0.3">
      <c r="D22" s="65" t="s">
        <v>78</v>
      </c>
      <c r="E22" s="66">
        <v>260</v>
      </c>
      <c r="F22" s="66">
        <v>200</v>
      </c>
      <c r="G22" s="71"/>
      <c r="H22" s="79">
        <f>Tableau111[[#This Row],[tjm client]]-Tableau111[[#This Row],[tjm fournisseur]]-Tableau111[[#This Row],[aporteur affaire]]</f>
        <v>60</v>
      </c>
    </row>
    <row r="23" spans="4:8" x14ac:dyDescent="0.3">
      <c r="D23" s="65" t="s">
        <v>107</v>
      </c>
      <c r="E23" s="66">
        <v>320</v>
      </c>
      <c r="F23" s="66">
        <v>200</v>
      </c>
      <c r="G23" s="71"/>
      <c r="H23" s="79">
        <f>Tableau111[[#This Row],[tjm client]]-Tableau111[[#This Row],[tjm fournisseur]]-Tableau111[[#This Row],[aporteur affaire]]</f>
        <v>120</v>
      </c>
    </row>
    <row r="24" spans="4:8" x14ac:dyDescent="0.3">
      <c r="D24" s="65" t="s">
        <v>108</v>
      </c>
      <c r="E24" s="66">
        <v>290</v>
      </c>
      <c r="F24" s="66">
        <v>200</v>
      </c>
      <c r="G24" s="71"/>
      <c r="H24" s="79">
        <f>Tableau111[[#This Row],[tjm client]]-Tableau111[[#This Row],[tjm fournisseur]]-Tableau111[[#This Row],[aporteur affaire]]</f>
        <v>90</v>
      </c>
    </row>
    <row r="25" spans="4:8" x14ac:dyDescent="0.3">
      <c r="D25" s="65" t="s">
        <v>79</v>
      </c>
      <c r="E25" s="66">
        <v>320</v>
      </c>
      <c r="F25" s="66">
        <v>220</v>
      </c>
      <c r="G25" s="71"/>
      <c r="H25" s="79">
        <f>Tableau111[[#This Row],[tjm client]]-Tableau111[[#This Row],[tjm fournisseur]]-Tableau111[[#This Row],[aporteur affaire]]</f>
        <v>100</v>
      </c>
    </row>
    <row r="26" spans="4:8" x14ac:dyDescent="0.3">
      <c r="D26" s="65" t="s">
        <v>101</v>
      </c>
      <c r="E26" s="66">
        <v>220</v>
      </c>
      <c r="F26" s="66">
        <v>140</v>
      </c>
      <c r="G26" s="71"/>
      <c r="H26" s="79">
        <f>Tableau111[[#This Row],[tjm client]]-Tableau111[[#This Row],[tjm fournisseur]]-Tableau111[[#This Row],[aporteur affaire]]</f>
        <v>80</v>
      </c>
    </row>
    <row r="27" spans="4:8" x14ac:dyDescent="0.3">
      <c r="D27" s="65" t="s">
        <v>27</v>
      </c>
      <c r="E27" s="66">
        <v>270</v>
      </c>
      <c r="F27" s="66">
        <v>170</v>
      </c>
      <c r="G27" s="71">
        <v>20</v>
      </c>
      <c r="H27" s="79">
        <f>Tableau111[[#This Row],[tjm client]]-Tableau111[[#This Row],[tjm fournisseur]]-Tableau111[[#This Row],[aporteur affaire]]</f>
        <v>80</v>
      </c>
    </row>
    <row r="28" spans="4:8" x14ac:dyDescent="0.3">
      <c r="D28" s="65" t="s">
        <v>30</v>
      </c>
      <c r="E28" s="66">
        <v>280</v>
      </c>
      <c r="F28" s="66">
        <v>200</v>
      </c>
      <c r="G28" s="71"/>
      <c r="H28" s="79">
        <f>Tableau111[[#This Row],[tjm client]]-Tableau111[[#This Row],[tjm fournisseur]]-Tableau111[[#This Row],[aporteur affaire]]</f>
        <v>80</v>
      </c>
    </row>
    <row r="29" spans="4:8" x14ac:dyDescent="0.3">
      <c r="D29" s="65" t="s">
        <v>70</v>
      </c>
      <c r="E29" s="66">
        <v>280</v>
      </c>
      <c r="F29" s="66">
        <v>200</v>
      </c>
      <c r="G29" s="71"/>
      <c r="H29" s="79">
        <f>Tableau111[[#This Row],[tjm client]]-Tableau111[[#This Row],[tjm fournisseur]]-Tableau111[[#This Row],[aporteur affaire]]</f>
        <v>80</v>
      </c>
    </row>
    <row r="30" spans="4:8" x14ac:dyDescent="0.3">
      <c r="D30" s="65" t="s">
        <v>92</v>
      </c>
      <c r="E30" s="66">
        <v>240</v>
      </c>
      <c r="F30" s="66"/>
      <c r="G30" s="71"/>
      <c r="H30" s="79">
        <f>Tableau111[[#This Row],[tjm client]]-Tableau111[[#This Row],[tjm fournisseur]]-Tableau111[[#This Row],[aporteur affaire]]</f>
        <v>240</v>
      </c>
    </row>
    <row r="31" spans="4:8" x14ac:dyDescent="0.3">
      <c r="D31" s="65" t="s">
        <v>22</v>
      </c>
      <c r="E31" s="66">
        <v>270</v>
      </c>
      <c r="F31" s="66">
        <v>160</v>
      </c>
      <c r="G31" s="71"/>
      <c r="H31" s="79">
        <f>Tableau111[[#This Row],[tjm client]]-Tableau111[[#This Row],[tjm fournisseur]]-Tableau111[[#This Row],[aporteur affaire]]</f>
        <v>110</v>
      </c>
    </row>
    <row r="32" spans="4:8" x14ac:dyDescent="0.3">
      <c r="D32" s="68" t="s">
        <v>99</v>
      </c>
      <c r="E32" s="69">
        <v>180</v>
      </c>
      <c r="F32" s="66">
        <v>140</v>
      </c>
      <c r="G32" s="72"/>
      <c r="H32" s="79">
        <f>Tableau111[[#This Row],[tjm client]]-Tableau111[[#This Row],[tjm fournisseur]]-Tableau111[[#This Row],[aporteur affaire]]</f>
        <v>40</v>
      </c>
    </row>
    <row r="33" spans="4:8" x14ac:dyDescent="0.3">
      <c r="D33" s="68" t="s">
        <v>119</v>
      </c>
      <c r="E33" s="69">
        <v>460</v>
      </c>
      <c r="F33" s="69"/>
      <c r="G33" s="72"/>
      <c r="H33" s="126">
        <f>Tableau111[[#This Row],[tjm client]]-Tableau111[[#This Row],[tjm fournisseur]]-Tableau111[[#This Row],[aporteur affaire]]</f>
        <v>460</v>
      </c>
    </row>
  </sheetData>
  <conditionalFormatting sqref="H20:H33">
    <cfRule type="cellIs" dxfId="458" priority="1" operator="equal">
      <formula>100</formula>
    </cfRule>
    <cfRule type="cellIs" dxfId="457" priority="2" operator="lessThan">
      <formula>100</formula>
    </cfRule>
    <cfRule type="cellIs" dxfId="456" priority="3" operator="greaterThan">
      <formula>100</formula>
    </cfRule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3"/>
  <sheetViews>
    <sheetView zoomScale="96" zoomScaleNormal="96" workbookViewId="0">
      <selection activeCell="E15" sqref="E15:G20"/>
    </sheetView>
  </sheetViews>
  <sheetFormatPr baseColWidth="10" defaultRowHeight="14.4" x14ac:dyDescent="0.3"/>
  <cols>
    <col min="2" max="2" width="25.77734375" bestFit="1" customWidth="1"/>
    <col min="3" max="3" width="14.5546875" bestFit="1" customWidth="1"/>
    <col min="4" max="4" width="23.6640625" bestFit="1" customWidth="1"/>
    <col min="5" max="5" width="21.88671875" bestFit="1" customWidth="1"/>
    <col min="6" max="6" width="25.6640625" bestFit="1" customWidth="1"/>
    <col min="7" max="7" width="24" bestFit="1" customWidth="1"/>
    <col min="8" max="8" width="15.21875" bestFit="1" customWidth="1"/>
    <col min="9" max="15" width="17.109375" customWidth="1"/>
    <col min="16" max="16" width="18.21875" bestFit="1" customWidth="1"/>
    <col min="17" max="17" width="20.5546875" customWidth="1"/>
  </cols>
  <sheetData>
    <row r="3" spans="2:18" x14ac:dyDescent="0.3">
      <c r="G3" s="56" t="s">
        <v>24</v>
      </c>
      <c r="H3" s="56">
        <v>3.35</v>
      </c>
    </row>
    <row r="4" spans="2:18" ht="15" thickBot="1" x14ac:dyDescent="0.35"/>
    <row r="5" spans="2:18" ht="16.2" thickBot="1" x14ac:dyDescent="0.35">
      <c r="C5" s="23" t="s">
        <v>59</v>
      </c>
      <c r="D5" s="11" t="s">
        <v>0</v>
      </c>
      <c r="E5" s="19" t="s">
        <v>3</v>
      </c>
      <c r="F5" s="20" t="s">
        <v>4</v>
      </c>
      <c r="G5" s="21" t="s">
        <v>26</v>
      </c>
      <c r="H5" s="24" t="s">
        <v>5</v>
      </c>
    </row>
    <row r="6" spans="2:18" ht="29.4" thickBot="1" x14ac:dyDescent="0.35">
      <c r="B6" s="15" t="s">
        <v>1</v>
      </c>
      <c r="C6" s="82" t="s">
        <v>35</v>
      </c>
      <c r="D6" s="9" t="s">
        <v>20</v>
      </c>
      <c r="E6" s="6"/>
      <c r="F6" s="6"/>
      <c r="G6" s="6"/>
      <c r="H6" s="25">
        <f>E6-(F6+G6)</f>
        <v>0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16.2" customHeight="1" thickBot="1" x14ac:dyDescent="0.35">
      <c r="B7" s="143" t="s">
        <v>2</v>
      </c>
      <c r="C7" s="82" t="s">
        <v>35</v>
      </c>
      <c r="D7" s="9" t="s">
        <v>21</v>
      </c>
      <c r="E7" s="6"/>
      <c r="F7" s="6"/>
      <c r="G7" s="6"/>
      <c r="H7" s="25">
        <f t="shared" ref="H7:H19" si="0">E7-(F7+G7)</f>
        <v>0</v>
      </c>
    </row>
    <row r="8" spans="2:18" ht="16.2" customHeight="1" thickBot="1" x14ac:dyDescent="0.35">
      <c r="B8" s="144"/>
      <c r="C8" s="82" t="s">
        <v>35</v>
      </c>
      <c r="D8" s="16" t="s">
        <v>22</v>
      </c>
      <c r="E8" s="6"/>
      <c r="F8" s="6"/>
      <c r="G8" s="6"/>
      <c r="H8" s="25">
        <f t="shared" si="0"/>
        <v>0</v>
      </c>
    </row>
    <row r="9" spans="2:18" ht="16.2" customHeight="1" thickBot="1" x14ac:dyDescent="0.35">
      <c r="B9" s="144"/>
      <c r="C9" s="82" t="s">
        <v>35</v>
      </c>
      <c r="D9" s="16" t="s">
        <v>28</v>
      </c>
      <c r="E9" s="12"/>
      <c r="F9" s="6"/>
      <c r="G9" s="6"/>
      <c r="H9" s="25">
        <f t="shared" si="0"/>
        <v>0</v>
      </c>
    </row>
    <row r="10" spans="2:18" ht="16.2" customHeight="1" thickBot="1" x14ac:dyDescent="0.35">
      <c r="B10" s="144"/>
      <c r="C10" s="82" t="s">
        <v>35</v>
      </c>
      <c r="D10" s="9" t="s">
        <v>23</v>
      </c>
      <c r="E10" s="12"/>
      <c r="F10" s="6"/>
      <c r="G10" s="6"/>
      <c r="H10" s="25">
        <f t="shared" si="0"/>
        <v>0</v>
      </c>
    </row>
    <row r="11" spans="2:18" ht="16.2" customHeight="1" thickBot="1" x14ac:dyDescent="0.35">
      <c r="B11" s="144"/>
      <c r="C11" s="82" t="s">
        <v>35</v>
      </c>
      <c r="D11" s="9" t="s">
        <v>25</v>
      </c>
      <c r="E11" s="12"/>
      <c r="F11" s="6"/>
      <c r="G11" s="6"/>
      <c r="H11" s="25">
        <f>E11-(F11+G11)</f>
        <v>0</v>
      </c>
    </row>
    <row r="12" spans="2:18" ht="16.2" customHeight="1" thickBot="1" x14ac:dyDescent="0.35">
      <c r="B12" s="144"/>
      <c r="C12" s="88" t="s">
        <v>35</v>
      </c>
      <c r="D12" s="31" t="s">
        <v>27</v>
      </c>
      <c r="E12" s="32"/>
      <c r="F12" s="33"/>
      <c r="G12" s="123"/>
      <c r="H12" s="25">
        <f t="shared" si="0"/>
        <v>0</v>
      </c>
    </row>
    <row r="13" spans="2:18" s="87" customFormat="1" ht="16.2" customHeight="1" x14ac:dyDescent="0.3">
      <c r="B13" s="113"/>
      <c r="C13" s="118"/>
      <c r="D13" s="114"/>
      <c r="E13" s="122"/>
      <c r="F13" s="122"/>
      <c r="G13" s="5" t="s">
        <v>61</v>
      </c>
      <c r="H13" s="25">
        <f>SUM(H6:H12)</f>
        <v>0</v>
      </c>
    </row>
    <row r="14" spans="2:18" s="87" customFormat="1" ht="16.2" customHeight="1" thickBot="1" x14ac:dyDescent="0.35">
      <c r="B14" s="103"/>
      <c r="C14" s="118"/>
      <c r="D14" s="114"/>
      <c r="E14" s="124"/>
      <c r="F14" s="115"/>
      <c r="G14" s="125"/>
      <c r="H14" s="115"/>
    </row>
    <row r="15" spans="2:18" ht="29.4" thickBot="1" x14ac:dyDescent="0.35">
      <c r="B15" s="15" t="s">
        <v>1</v>
      </c>
      <c r="C15" s="92" t="s">
        <v>36</v>
      </c>
      <c r="D15" s="93" t="s">
        <v>31</v>
      </c>
      <c r="E15" s="94"/>
      <c r="F15" s="94"/>
      <c r="G15" s="94"/>
      <c r="H15" s="96">
        <f>E15-(F15+G15)</f>
        <v>0</v>
      </c>
    </row>
    <row r="16" spans="2:18" ht="16.2" thickBot="1" x14ac:dyDescent="0.35">
      <c r="B16" s="143" t="s">
        <v>2</v>
      </c>
      <c r="C16" s="81" t="s">
        <v>36</v>
      </c>
      <c r="D16" s="9" t="s">
        <v>29</v>
      </c>
      <c r="E16" s="6"/>
      <c r="F16" s="6"/>
      <c r="G16" s="6"/>
      <c r="H16" s="25">
        <f t="shared" si="0"/>
        <v>0</v>
      </c>
    </row>
    <row r="17" spans="2:8" ht="16.2" thickBot="1" x14ac:dyDescent="0.35">
      <c r="B17" s="144"/>
      <c r="C17" s="81" t="s">
        <v>36</v>
      </c>
      <c r="D17" s="9" t="s">
        <v>30</v>
      </c>
      <c r="E17" s="6"/>
      <c r="F17" s="6"/>
      <c r="G17" s="6"/>
      <c r="H17" s="25">
        <f>E17-(F17+G17)</f>
        <v>0</v>
      </c>
    </row>
    <row r="18" spans="2:8" ht="16.2" thickBot="1" x14ac:dyDescent="0.35">
      <c r="B18" s="144"/>
      <c r="C18" s="81" t="s">
        <v>36</v>
      </c>
      <c r="D18" s="31" t="s">
        <v>27</v>
      </c>
      <c r="E18" s="32"/>
      <c r="F18" s="6"/>
      <c r="G18" s="33"/>
      <c r="H18" s="25">
        <f t="shared" si="0"/>
        <v>0</v>
      </c>
    </row>
    <row r="19" spans="2:8" ht="16.2" thickBot="1" x14ac:dyDescent="0.35">
      <c r="B19" s="144"/>
      <c r="C19" s="81" t="s">
        <v>36</v>
      </c>
      <c r="D19" s="9" t="s">
        <v>33</v>
      </c>
      <c r="E19" s="12"/>
      <c r="F19" s="6"/>
      <c r="G19" s="6"/>
      <c r="H19" s="25">
        <f t="shared" si="0"/>
        <v>0</v>
      </c>
    </row>
    <row r="20" spans="2:8" ht="16.2" thickBot="1" x14ac:dyDescent="0.35">
      <c r="B20" s="147"/>
      <c r="C20" s="81" t="s">
        <v>36</v>
      </c>
      <c r="D20" s="31" t="s">
        <v>67</v>
      </c>
      <c r="E20" s="32"/>
      <c r="F20" s="6"/>
      <c r="G20" s="6"/>
      <c r="H20" s="25">
        <f>E20-(F20+G20)</f>
        <v>0</v>
      </c>
    </row>
    <row r="21" spans="2:8" ht="15.6" x14ac:dyDescent="0.3">
      <c r="G21" s="5" t="s">
        <v>62</v>
      </c>
      <c r="H21" s="50">
        <f>SUM(H15:H20)</f>
        <v>0</v>
      </c>
    </row>
    <row r="22" spans="2:8" ht="15" thickBot="1" x14ac:dyDescent="0.35"/>
    <row r="23" spans="2:8" ht="15.6" x14ac:dyDescent="0.3">
      <c r="G23" s="5" t="s">
        <v>6</v>
      </c>
      <c r="H23" s="57">
        <f>H13+H21</f>
        <v>0</v>
      </c>
    </row>
  </sheetData>
  <mergeCells count="2">
    <mergeCell ref="B16:B20"/>
    <mergeCell ref="B7:B12"/>
  </mergeCells>
  <conditionalFormatting sqref="H23 H6:H11">
    <cfRule type="cellIs" dxfId="183" priority="63" operator="lessThan">
      <formula>0</formula>
    </cfRule>
    <cfRule type="cellIs" dxfId="182" priority="64" operator="greaterThan">
      <formula>0</formula>
    </cfRule>
  </conditionalFormatting>
  <conditionalFormatting sqref="E6:E8">
    <cfRule type="cellIs" dxfId="181" priority="59" operator="lessThan">
      <formula>0</formula>
    </cfRule>
    <cfRule type="cellIs" dxfId="180" priority="60" operator="greaterThanOrEqual">
      <formula>0</formula>
    </cfRule>
  </conditionalFormatting>
  <conditionalFormatting sqref="F6:G6 F7:F12 G7:G11">
    <cfRule type="cellIs" dxfId="179" priority="53" operator="greaterThanOrEqual">
      <formula>0</formula>
    </cfRule>
    <cfRule type="cellIs" dxfId="178" priority="54" operator="lessThanOrEqual">
      <formula>0</formula>
    </cfRule>
  </conditionalFormatting>
  <conditionalFormatting sqref="H16:H20">
    <cfRule type="cellIs" dxfId="177" priority="43" operator="lessThan">
      <formula>0</formula>
    </cfRule>
    <cfRule type="cellIs" dxfId="176" priority="44" operator="greaterThan">
      <formula>0</formula>
    </cfRule>
  </conditionalFormatting>
  <conditionalFormatting sqref="E16:E17">
    <cfRule type="cellIs" dxfId="175" priority="41" operator="lessThan">
      <formula>0</formula>
    </cfRule>
    <cfRule type="cellIs" dxfId="174" priority="42" operator="greaterThanOrEqual">
      <formula>0</formula>
    </cfRule>
  </conditionalFormatting>
  <conditionalFormatting sqref="F16:G17">
    <cfRule type="cellIs" dxfId="173" priority="39" operator="greaterThanOrEqual">
      <formula>0</formula>
    </cfRule>
    <cfRule type="cellIs" dxfId="172" priority="40" operator="lessThanOrEqual">
      <formula>0</formula>
    </cfRule>
  </conditionalFormatting>
  <conditionalFormatting sqref="H15">
    <cfRule type="cellIs" dxfId="171" priority="37" operator="lessThan">
      <formula>0</formula>
    </cfRule>
    <cfRule type="cellIs" dxfId="170" priority="38" operator="greaterThan">
      <formula>0</formula>
    </cfRule>
  </conditionalFormatting>
  <conditionalFormatting sqref="E15">
    <cfRule type="cellIs" dxfId="169" priority="35" operator="lessThan">
      <formula>0</formula>
    </cfRule>
    <cfRule type="cellIs" dxfId="168" priority="36" operator="greaterThanOrEqual">
      <formula>0</formula>
    </cfRule>
  </conditionalFormatting>
  <conditionalFormatting sqref="F15:G15">
    <cfRule type="cellIs" dxfId="167" priority="33" operator="greaterThanOrEqual">
      <formula>0</formula>
    </cfRule>
    <cfRule type="cellIs" dxfId="166" priority="34" operator="lessThanOrEqual">
      <formula>0</formula>
    </cfRule>
  </conditionalFormatting>
  <conditionalFormatting sqref="F18">
    <cfRule type="cellIs" dxfId="165" priority="25" operator="greaterThanOrEqual">
      <formula>0</formula>
    </cfRule>
    <cfRule type="cellIs" dxfId="164" priority="26" operator="lessThanOrEqual">
      <formula>0</formula>
    </cfRule>
  </conditionalFormatting>
  <conditionalFormatting sqref="G18">
    <cfRule type="cellIs" dxfId="163" priority="19" operator="greaterThanOrEqual">
      <formula>0</formula>
    </cfRule>
    <cfRule type="cellIs" dxfId="162" priority="20" operator="lessThanOrEqual">
      <formula>0</formula>
    </cfRule>
  </conditionalFormatting>
  <conditionalFormatting sqref="F19">
    <cfRule type="cellIs" dxfId="161" priority="13" operator="greaterThanOrEqual">
      <formula>0</formula>
    </cfRule>
    <cfRule type="cellIs" dxfId="160" priority="14" operator="lessThanOrEqual">
      <formula>0</formula>
    </cfRule>
  </conditionalFormatting>
  <conditionalFormatting sqref="F20">
    <cfRule type="cellIs" dxfId="159" priority="11" operator="greaterThanOrEqual">
      <formula>0</formula>
    </cfRule>
    <cfRule type="cellIs" dxfId="158" priority="12" operator="lessThanOrEqual">
      <formula>0</formula>
    </cfRule>
  </conditionalFormatting>
  <conditionalFormatting sqref="G19">
    <cfRule type="cellIs" dxfId="157" priority="9" operator="greaterThanOrEqual">
      <formula>0</formula>
    </cfRule>
    <cfRule type="cellIs" dxfId="156" priority="10" operator="lessThanOrEqual">
      <formula>0</formula>
    </cfRule>
  </conditionalFormatting>
  <conditionalFormatting sqref="G20">
    <cfRule type="cellIs" dxfId="155" priority="7" operator="greaterThanOrEqual">
      <formula>0</formula>
    </cfRule>
    <cfRule type="cellIs" dxfId="154" priority="8" operator="lessThanOrEqual">
      <formula>0</formula>
    </cfRule>
  </conditionalFormatting>
  <conditionalFormatting sqref="H12">
    <cfRule type="cellIs" dxfId="153" priority="5" operator="lessThan">
      <formula>0</formula>
    </cfRule>
    <cfRule type="cellIs" dxfId="152" priority="6" operator="greaterThan">
      <formula>0</formula>
    </cfRule>
  </conditionalFormatting>
  <conditionalFormatting sqref="H13">
    <cfRule type="cellIs" dxfId="151" priority="3" operator="lessThan">
      <formula>0</formula>
    </cfRule>
    <cfRule type="cellIs" dxfId="150" priority="4" operator="greaterThan">
      <formula>0</formula>
    </cfRule>
  </conditionalFormatting>
  <conditionalFormatting sqref="H21">
    <cfRule type="cellIs" dxfId="149" priority="1" operator="lessThan">
      <formula>0</formula>
    </cfRule>
    <cfRule type="cellIs" dxfId="148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22"/>
  <sheetViews>
    <sheetView zoomScale="94" zoomScaleNormal="94" workbookViewId="0">
      <selection activeCell="E14" sqref="E14:G19"/>
    </sheetView>
  </sheetViews>
  <sheetFormatPr baseColWidth="10" defaultRowHeight="14.4" x14ac:dyDescent="0.3"/>
  <cols>
    <col min="2" max="2" width="26.33203125" bestFit="1" customWidth="1"/>
    <col min="3" max="3" width="14.5546875" customWidth="1"/>
    <col min="4" max="4" width="34.5546875" bestFit="1" customWidth="1"/>
    <col min="5" max="5" width="22.21875" customWidth="1"/>
    <col min="6" max="6" width="25.21875" customWidth="1"/>
    <col min="7" max="7" width="25.44140625" bestFit="1" customWidth="1"/>
    <col min="8" max="8" width="15.109375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6" t="s">
        <v>24</v>
      </c>
      <c r="H2" s="56">
        <v>3.35</v>
      </c>
    </row>
    <row r="3" spans="1:41" ht="15" thickBot="1" x14ac:dyDescent="0.35"/>
    <row r="4" spans="1:41" ht="16.2" thickBot="1" x14ac:dyDescent="0.35">
      <c r="C4" s="23" t="s">
        <v>59</v>
      </c>
      <c r="D4" s="11" t="s">
        <v>0</v>
      </c>
      <c r="E4" s="19" t="s">
        <v>3</v>
      </c>
      <c r="F4" s="20" t="s">
        <v>4</v>
      </c>
      <c r="G4" s="21" t="s">
        <v>26</v>
      </c>
      <c r="H4" s="24" t="s">
        <v>5</v>
      </c>
    </row>
    <row r="5" spans="1:41" ht="18.45" customHeight="1" thickBot="1" x14ac:dyDescent="0.35">
      <c r="B5" s="15" t="s">
        <v>1</v>
      </c>
      <c r="C5" s="82" t="s">
        <v>35</v>
      </c>
      <c r="D5" s="9" t="s">
        <v>20</v>
      </c>
      <c r="E5" s="6"/>
      <c r="F5" s="6"/>
      <c r="G5" s="6"/>
      <c r="H5" s="25">
        <f>E5-(F5+G5)</f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customHeight="1" thickBot="1" x14ac:dyDescent="0.35">
      <c r="B6" s="143" t="s">
        <v>2</v>
      </c>
      <c r="C6" s="82" t="s">
        <v>35</v>
      </c>
      <c r="D6" s="9" t="s">
        <v>21</v>
      </c>
      <c r="E6" s="6"/>
      <c r="F6" s="6"/>
      <c r="G6" s="6"/>
      <c r="H6" s="25">
        <f t="shared" ref="H6:H16" si="0">E6-(F6+G6)</f>
        <v>0</v>
      </c>
    </row>
    <row r="7" spans="1:41" ht="16.2" customHeight="1" thickBot="1" x14ac:dyDescent="0.35">
      <c r="B7" s="144"/>
      <c r="C7" s="82" t="s">
        <v>35</v>
      </c>
      <c r="D7" s="16" t="s">
        <v>22</v>
      </c>
      <c r="E7" s="6"/>
      <c r="F7" s="6"/>
      <c r="G7" s="6"/>
      <c r="H7" s="25">
        <f t="shared" si="0"/>
        <v>0</v>
      </c>
    </row>
    <row r="8" spans="1:41" ht="19.8" customHeight="1" thickBot="1" x14ac:dyDescent="0.35">
      <c r="B8" s="144"/>
      <c r="C8" s="82" t="s">
        <v>35</v>
      </c>
      <c r="D8" s="16" t="s">
        <v>28</v>
      </c>
      <c r="E8" s="12"/>
      <c r="F8" s="6"/>
      <c r="G8" s="6"/>
      <c r="H8" s="25">
        <f t="shared" si="0"/>
        <v>0</v>
      </c>
    </row>
    <row r="9" spans="1:41" ht="18.600000000000001" customHeight="1" thickBot="1" x14ac:dyDescent="0.35">
      <c r="B9" s="144"/>
      <c r="C9" s="82" t="s">
        <v>35</v>
      </c>
      <c r="D9" s="9" t="s">
        <v>23</v>
      </c>
      <c r="E9" s="12"/>
      <c r="F9" s="6"/>
      <c r="G9" s="6"/>
      <c r="H9" s="25">
        <f t="shared" si="0"/>
        <v>0</v>
      </c>
    </row>
    <row r="10" spans="1:41" ht="17.399999999999999" customHeight="1" thickBot="1" x14ac:dyDescent="0.35">
      <c r="B10" s="144"/>
      <c r="C10" s="82" t="s">
        <v>35</v>
      </c>
      <c r="D10" s="9" t="s">
        <v>25</v>
      </c>
      <c r="E10" s="12"/>
      <c r="F10" s="6"/>
      <c r="G10" s="6"/>
      <c r="H10" s="25">
        <f t="shared" si="0"/>
        <v>0</v>
      </c>
    </row>
    <row r="11" spans="1:41" ht="18" customHeight="1" thickBot="1" x14ac:dyDescent="0.35">
      <c r="B11" s="144"/>
      <c r="C11" s="88" t="s">
        <v>35</v>
      </c>
      <c r="D11" s="77" t="s">
        <v>27</v>
      </c>
      <c r="E11" s="12"/>
      <c r="F11" s="6"/>
      <c r="G11" s="13"/>
      <c r="H11" s="25">
        <f t="shared" si="0"/>
        <v>0</v>
      </c>
      <c r="I11" s="75" t="s">
        <v>116</v>
      </c>
    </row>
    <row r="12" spans="1:41" s="84" customFormat="1" ht="18" customHeight="1" x14ac:dyDescent="0.3">
      <c r="A12"/>
      <c r="B12"/>
      <c r="C12"/>
      <c r="D12"/>
      <c r="E12" s="120"/>
      <c r="F12" s="121"/>
      <c r="G12" s="5" t="s">
        <v>61</v>
      </c>
      <c r="H12" s="25">
        <f>SUM(H5:H11)</f>
        <v>0</v>
      </c>
      <c r="I12" s="85"/>
    </row>
    <row r="13" spans="1:41" s="109" customFormat="1" ht="18" customHeight="1" x14ac:dyDescent="0.3">
      <c r="A13"/>
      <c r="B13" s="118"/>
      <c r="C13" s="118"/>
      <c r="D13" s="114"/>
      <c r="E13" s="122"/>
      <c r="F13" s="115"/>
      <c r="G13" s="115"/>
      <c r="H13" s="115"/>
      <c r="I13" s="117"/>
    </row>
    <row r="14" spans="1:41" ht="16.2" customHeight="1" thickBot="1" x14ac:dyDescent="0.35">
      <c r="B14" s="144" t="s">
        <v>2</v>
      </c>
      <c r="C14" s="92" t="s">
        <v>36</v>
      </c>
      <c r="D14" s="93" t="s">
        <v>29</v>
      </c>
      <c r="E14" s="94"/>
      <c r="F14" s="94"/>
      <c r="G14" s="94"/>
      <c r="H14" s="96">
        <f t="shared" si="0"/>
        <v>0</v>
      </c>
    </row>
    <row r="15" spans="1:41" ht="16.2" customHeight="1" thickBot="1" x14ac:dyDescent="0.35">
      <c r="B15" s="144"/>
      <c r="C15" s="81" t="s">
        <v>36</v>
      </c>
      <c r="D15" s="9" t="s">
        <v>71</v>
      </c>
      <c r="E15" s="51"/>
      <c r="F15" s="55"/>
      <c r="G15" s="55"/>
      <c r="H15" s="53">
        <f>E15-(F15+G15)</f>
        <v>0</v>
      </c>
    </row>
    <row r="16" spans="1:41" ht="16.2" customHeight="1" thickBot="1" x14ac:dyDescent="0.35">
      <c r="B16" s="144"/>
      <c r="C16" s="81" t="s">
        <v>36</v>
      </c>
      <c r="D16" s="9" t="s">
        <v>30</v>
      </c>
      <c r="E16" s="6"/>
      <c r="F16" s="6"/>
      <c r="G16" s="6"/>
      <c r="H16" s="25">
        <f t="shared" si="0"/>
        <v>0</v>
      </c>
    </row>
    <row r="17" spans="2:9" ht="15.6" customHeight="1" thickBot="1" x14ac:dyDescent="0.35">
      <c r="B17" s="144"/>
      <c r="C17" s="81" t="s">
        <v>36</v>
      </c>
      <c r="D17" s="78" t="s">
        <v>27</v>
      </c>
      <c r="E17" s="45"/>
      <c r="F17" s="46"/>
      <c r="G17" s="46"/>
      <c r="H17" s="25">
        <f>E17-(F17+G17)</f>
        <v>0</v>
      </c>
      <c r="I17" s="75" t="s">
        <v>115</v>
      </c>
    </row>
    <row r="18" spans="2:9" ht="16.05" customHeight="1" thickBot="1" x14ac:dyDescent="0.35">
      <c r="B18" s="144"/>
      <c r="C18" s="81" t="s">
        <v>36</v>
      </c>
      <c r="D18" s="9" t="s">
        <v>33</v>
      </c>
      <c r="E18" s="12"/>
      <c r="F18" s="6"/>
      <c r="G18" s="6"/>
      <c r="H18" s="25">
        <f>E18-(F18+G18)</f>
        <v>0</v>
      </c>
      <c r="I18" s="76"/>
    </row>
    <row r="19" spans="2:9" ht="16.05" customHeight="1" thickBot="1" x14ac:dyDescent="0.35">
      <c r="B19" s="147"/>
      <c r="C19" s="81" t="s">
        <v>36</v>
      </c>
      <c r="D19" s="31" t="s">
        <v>67</v>
      </c>
      <c r="E19" s="32"/>
      <c r="F19" s="6"/>
      <c r="G19" s="6"/>
      <c r="H19" s="25">
        <f>E19-(F19+G19)</f>
        <v>0</v>
      </c>
    </row>
    <row r="20" spans="2:9" ht="15.6" x14ac:dyDescent="0.3">
      <c r="G20" s="5" t="s">
        <v>62</v>
      </c>
      <c r="H20" s="50">
        <f>SUM(H14:H19)</f>
        <v>0</v>
      </c>
    </row>
    <row r="21" spans="2:9" ht="15" thickBot="1" x14ac:dyDescent="0.35"/>
    <row r="22" spans="2:9" ht="15.6" x14ac:dyDescent="0.3">
      <c r="G22" s="5" t="s">
        <v>6</v>
      </c>
      <c r="H22" s="57">
        <f>H12+H20</f>
        <v>0</v>
      </c>
    </row>
  </sheetData>
  <mergeCells count="2">
    <mergeCell ref="B6:B11"/>
    <mergeCell ref="B14:B19"/>
  </mergeCells>
  <conditionalFormatting sqref="H22 H5:H11">
    <cfRule type="cellIs" dxfId="140" priority="59" operator="lessThan">
      <formula>0</formula>
    </cfRule>
    <cfRule type="cellIs" dxfId="139" priority="60" operator="greaterThan">
      <formula>0</formula>
    </cfRule>
  </conditionalFormatting>
  <conditionalFormatting sqref="E5:E7">
    <cfRule type="cellIs" dxfId="138" priority="55" operator="lessThan">
      <formula>0</formula>
    </cfRule>
    <cfRule type="cellIs" dxfId="137" priority="56" operator="greaterThanOrEqual">
      <formula>0</formula>
    </cfRule>
  </conditionalFormatting>
  <conditionalFormatting sqref="G5:G10 F5:F9 F11">
    <cfRule type="cellIs" dxfId="136" priority="43" operator="greaterThanOrEqual">
      <formula>0</formula>
    </cfRule>
    <cfRule type="cellIs" dxfId="135" priority="44" operator="lessThanOrEqual">
      <formula>0</formula>
    </cfRule>
  </conditionalFormatting>
  <conditionalFormatting sqref="F10">
    <cfRule type="cellIs" dxfId="134" priority="39" operator="greaterThanOrEqual">
      <formula>0</formula>
    </cfRule>
    <cfRule type="cellIs" dxfId="133" priority="40" operator="lessThanOrEqual">
      <formula>0</formula>
    </cfRule>
  </conditionalFormatting>
  <conditionalFormatting sqref="H14:H19">
    <cfRule type="cellIs" dxfId="132" priority="37" operator="lessThan">
      <formula>0</formula>
    </cfRule>
    <cfRule type="cellIs" dxfId="131" priority="38" operator="greaterThan">
      <formula>0</formula>
    </cfRule>
  </conditionalFormatting>
  <conditionalFormatting sqref="E14:E16">
    <cfRule type="cellIs" dxfId="130" priority="35" operator="lessThan">
      <formula>0</formula>
    </cfRule>
    <cfRule type="cellIs" dxfId="129" priority="36" operator="greaterThanOrEqual">
      <formula>0</formula>
    </cfRule>
  </conditionalFormatting>
  <conditionalFormatting sqref="F14:G16">
    <cfRule type="cellIs" dxfId="128" priority="33" operator="greaterThanOrEqual">
      <formula>0</formula>
    </cfRule>
    <cfRule type="cellIs" dxfId="127" priority="34" operator="lessThanOrEqual">
      <formula>0</formula>
    </cfRule>
  </conditionalFormatting>
  <conditionalFormatting sqref="F17">
    <cfRule type="cellIs" dxfId="126" priority="23" operator="greaterThanOrEqual">
      <formula>0</formula>
    </cfRule>
    <cfRule type="cellIs" dxfId="125" priority="24" operator="lessThanOrEqual">
      <formula>0</formula>
    </cfRule>
  </conditionalFormatting>
  <conditionalFormatting sqref="G17">
    <cfRule type="cellIs" dxfId="124" priority="19" operator="greaterThanOrEqual">
      <formula>0</formula>
    </cfRule>
    <cfRule type="cellIs" dxfId="123" priority="20" operator="lessThanOrEqual">
      <formula>0</formula>
    </cfRule>
  </conditionalFormatting>
  <conditionalFormatting sqref="F18">
    <cfRule type="cellIs" dxfId="122" priority="11" operator="greaterThanOrEqual">
      <formula>0</formula>
    </cfRule>
    <cfRule type="cellIs" dxfId="121" priority="12" operator="lessThanOrEqual">
      <formula>0</formula>
    </cfRule>
  </conditionalFormatting>
  <conditionalFormatting sqref="F19">
    <cfRule type="cellIs" dxfId="120" priority="9" operator="greaterThanOrEqual">
      <formula>0</formula>
    </cfRule>
    <cfRule type="cellIs" dxfId="119" priority="10" operator="lessThanOrEqual">
      <formula>0</formula>
    </cfRule>
  </conditionalFormatting>
  <conditionalFormatting sqref="G18">
    <cfRule type="cellIs" dxfId="118" priority="7" operator="greaterThanOrEqual">
      <formula>0</formula>
    </cfRule>
    <cfRule type="cellIs" dxfId="117" priority="8" operator="lessThanOrEqual">
      <formula>0</formula>
    </cfRule>
  </conditionalFormatting>
  <conditionalFormatting sqref="G19">
    <cfRule type="cellIs" dxfId="116" priority="5" operator="greaterThanOrEqual">
      <formula>0</formula>
    </cfRule>
    <cfRule type="cellIs" dxfId="115" priority="6" operator="lessThanOrEqual">
      <formula>0</formula>
    </cfRule>
  </conditionalFormatting>
  <conditionalFormatting sqref="H12">
    <cfRule type="cellIs" dxfId="114" priority="3" operator="lessThan">
      <formula>0</formula>
    </cfRule>
    <cfRule type="cellIs" dxfId="113" priority="4" operator="greaterThan">
      <formula>0</formula>
    </cfRule>
  </conditionalFormatting>
  <conditionalFormatting sqref="H20">
    <cfRule type="cellIs" dxfId="112" priority="1" operator="lessThan">
      <formula>0</formula>
    </cfRule>
    <cfRule type="cellIs" dxfId="111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N23"/>
  <sheetViews>
    <sheetView zoomScale="99" zoomScaleNormal="99" workbookViewId="0">
      <selection activeCell="E23" sqref="E23"/>
    </sheetView>
  </sheetViews>
  <sheetFormatPr baseColWidth="10" defaultRowHeight="14.4" x14ac:dyDescent="0.3"/>
  <cols>
    <col min="2" max="2" width="26.33203125" bestFit="1" customWidth="1"/>
    <col min="3" max="3" width="14.5546875" customWidth="1"/>
    <col min="4" max="4" width="33.6640625" bestFit="1" customWidth="1"/>
    <col min="5" max="5" width="22.21875" customWidth="1"/>
    <col min="6" max="6" width="25.21875" customWidth="1"/>
    <col min="7" max="7" width="25" bestFit="1" customWidth="1"/>
    <col min="8" max="8" width="28.109375" bestFit="1" customWidth="1"/>
    <col min="9" max="37" width="17.109375" customWidth="1"/>
    <col min="38" max="38" width="18.21875" bestFit="1" customWidth="1"/>
    <col min="39" max="39" width="20.5546875" customWidth="1"/>
  </cols>
  <sheetData>
    <row r="2" spans="2:40" x14ac:dyDescent="0.3">
      <c r="G2" s="56" t="s">
        <v>24</v>
      </c>
      <c r="H2" s="56">
        <v>3.35</v>
      </c>
    </row>
    <row r="3" spans="2:40" ht="15" thickBot="1" x14ac:dyDescent="0.35"/>
    <row r="4" spans="2:40" ht="16.2" thickBot="1" x14ac:dyDescent="0.35">
      <c r="C4" s="23" t="s">
        <v>59</v>
      </c>
      <c r="D4" s="11" t="s">
        <v>0</v>
      </c>
      <c r="E4" s="19" t="s">
        <v>3</v>
      </c>
      <c r="F4" s="20" t="s">
        <v>4</v>
      </c>
      <c r="G4" s="21" t="s">
        <v>26</v>
      </c>
      <c r="H4" s="24" t="s">
        <v>5</v>
      </c>
    </row>
    <row r="5" spans="2:40" ht="19.8" customHeight="1" thickBot="1" x14ac:dyDescent="0.35">
      <c r="B5" s="47" t="s">
        <v>1</v>
      </c>
      <c r="C5" s="82" t="s">
        <v>35</v>
      </c>
      <c r="D5" s="9" t="s">
        <v>20</v>
      </c>
      <c r="E5" s="6"/>
      <c r="F5" s="6"/>
      <c r="G5" s="6"/>
      <c r="H5" s="25">
        <f>Tableau9[[#This Row],[facturation client HT]]-(Tableau9[[#This Row],[facturation Fournisseur HT]]+Tableau9[[#This Row],[ Salaire NET]])</f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2:40" ht="16.2" customHeight="1" thickBot="1" x14ac:dyDescent="0.35">
      <c r="B6" s="144" t="s">
        <v>2</v>
      </c>
      <c r="C6" s="82" t="s">
        <v>35</v>
      </c>
      <c r="D6" s="16" t="s">
        <v>22</v>
      </c>
      <c r="E6" s="6"/>
      <c r="F6" s="6"/>
      <c r="G6" s="6"/>
      <c r="H6" s="25">
        <f>Tableau9[[#This Row],[facturation client HT]]-(Tableau9[[#This Row],[facturation Fournisseur HT]]+Tableau9[[#This Row],[ Salaire NET]])</f>
        <v>0</v>
      </c>
    </row>
    <row r="7" spans="2:40" ht="16.2" customHeight="1" thickBot="1" x14ac:dyDescent="0.35">
      <c r="B7" s="144"/>
      <c r="C7" s="82" t="s">
        <v>35</v>
      </c>
      <c r="D7" s="16" t="s">
        <v>28</v>
      </c>
      <c r="E7" s="6"/>
      <c r="F7" s="6"/>
      <c r="G7" s="6"/>
      <c r="H7" s="25">
        <f>Tableau9[[#This Row],[facturation client HT]]-(Tableau9[[#This Row],[facturation Fournisseur HT]]+Tableau9[[#This Row],[ Salaire NET]])</f>
        <v>0</v>
      </c>
    </row>
    <row r="8" spans="2:40" ht="16.2" customHeight="1" thickBot="1" x14ac:dyDescent="0.35">
      <c r="B8" s="144"/>
      <c r="C8" s="82" t="s">
        <v>35</v>
      </c>
      <c r="D8" s="9" t="s">
        <v>23</v>
      </c>
      <c r="E8" s="6"/>
      <c r="F8" s="6"/>
      <c r="G8" s="6"/>
      <c r="H8" s="25">
        <f>Tableau9[[#This Row],[facturation client HT]]-(Tableau9[[#This Row],[facturation Fournisseur HT]]+Tableau9[[#This Row],[ Salaire NET]])</f>
        <v>0</v>
      </c>
    </row>
    <row r="9" spans="2:40" ht="16.2" customHeight="1" thickBot="1" x14ac:dyDescent="0.35">
      <c r="B9" s="144"/>
      <c r="C9" s="82" t="s">
        <v>35</v>
      </c>
      <c r="D9" s="9" t="s">
        <v>25</v>
      </c>
      <c r="E9" s="6"/>
      <c r="F9" s="52"/>
      <c r="G9" s="6"/>
      <c r="H9" s="25">
        <f>Tableau9[[#This Row],[facturation client HT]]-(Tableau9[[#This Row],[facturation Fournisseur HT]]+Tableau9[[#This Row],[ Salaire NET]])</f>
        <v>0</v>
      </c>
    </row>
    <row r="10" spans="2:40" ht="16.2" customHeight="1" thickBot="1" x14ac:dyDescent="0.35">
      <c r="B10" s="144"/>
      <c r="C10" s="82" t="s">
        <v>35</v>
      </c>
      <c r="D10" s="77" t="s">
        <v>27</v>
      </c>
      <c r="E10" s="6"/>
      <c r="F10" s="6"/>
      <c r="G10" s="6"/>
      <c r="H10" s="25">
        <f>Tableau9[[#This Row],[facturation client HT]]-(Tableau9[[#This Row],[facturation Fournisseur HT]]+Tableau9[[#This Row],[ Salaire NET]])</f>
        <v>0</v>
      </c>
      <c r="I10" s="75" t="s">
        <v>116</v>
      </c>
    </row>
    <row r="11" spans="2:40" ht="16.2" customHeight="1" thickBot="1" x14ac:dyDescent="0.35">
      <c r="B11" s="144"/>
      <c r="C11" s="88" t="s">
        <v>35</v>
      </c>
      <c r="D11" s="110" t="s">
        <v>70</v>
      </c>
      <c r="E11" s="111"/>
      <c r="F11" s="112"/>
      <c r="G11" s="111"/>
      <c r="H11" s="90">
        <f>Tableau9[[#This Row],[facturation client HT]]-(Tableau9[[#This Row],[facturation Fournisseur HT]]+Tableau9[[#This Row],[ Salaire NET]])</f>
        <v>0</v>
      </c>
      <c r="I11" s="75"/>
    </row>
    <row r="12" spans="2:40" s="109" customFormat="1" ht="16.2" customHeight="1" x14ac:dyDescent="0.3">
      <c r="B12" s="113"/>
      <c r="C12" s="118"/>
      <c r="D12" s="119"/>
      <c r="E12" s="115"/>
      <c r="F12" s="115"/>
      <c r="G12" s="5" t="s">
        <v>61</v>
      </c>
      <c r="H12" s="25">
        <f>SUM(H5:H11)</f>
        <v>0</v>
      </c>
      <c r="I12" s="117"/>
    </row>
    <row r="13" spans="2:40" s="109" customFormat="1" ht="16.2" customHeight="1" x14ac:dyDescent="0.3">
      <c r="B13" s="113"/>
      <c r="C13" s="118"/>
      <c r="D13" s="114"/>
      <c r="E13" s="115"/>
      <c r="F13" s="116"/>
      <c r="G13" s="115"/>
      <c r="H13" s="115"/>
      <c r="I13" s="117"/>
    </row>
    <row r="14" spans="2:40" s="109" customFormat="1" ht="16.2" customHeight="1" thickBot="1" x14ac:dyDescent="0.35">
      <c r="B14" s="103"/>
      <c r="C14" s="92" t="s">
        <v>69</v>
      </c>
      <c r="D14" s="93" t="s">
        <v>29</v>
      </c>
      <c r="E14" s="94"/>
      <c r="F14" s="94"/>
      <c r="G14" s="94"/>
      <c r="H14" s="25">
        <f>Tableau9[[#This Row],[facturation client HT]]-(Tableau9[[#This Row],[facturation Fournisseur HT]]+Tableau9[[#This Row],[ Salaire NET]])</f>
        <v>0</v>
      </c>
      <c r="I14" s="117"/>
    </row>
    <row r="15" spans="2:40" ht="16.2" customHeight="1" thickBot="1" x14ac:dyDescent="0.35">
      <c r="B15" s="144" t="s">
        <v>2</v>
      </c>
      <c r="C15" s="81" t="s">
        <v>69</v>
      </c>
      <c r="D15" s="9" t="s">
        <v>30</v>
      </c>
      <c r="E15" s="6"/>
      <c r="F15" s="6"/>
      <c r="G15" s="6"/>
      <c r="H15" s="25">
        <f>Tableau9[[#This Row],[facturation client HT]]-(Tableau9[[#This Row],[facturation Fournisseur HT]]+Tableau9[[#This Row],[ Salaire NET]])</f>
        <v>0</v>
      </c>
    </row>
    <row r="16" spans="2:40" ht="16.2" customHeight="1" thickBot="1" x14ac:dyDescent="0.35">
      <c r="B16" s="144"/>
      <c r="C16" s="81" t="s">
        <v>69</v>
      </c>
      <c r="D16" s="16" t="s">
        <v>71</v>
      </c>
      <c r="E16" s="55"/>
      <c r="F16" s="52"/>
      <c r="G16" s="55"/>
      <c r="H16" s="25">
        <f>Tableau9[[#This Row],[facturation client HT]]-(Tableau9[[#This Row],[facturation Fournisseur HT]]+Tableau9[[#This Row],[ Salaire NET]])</f>
        <v>0</v>
      </c>
    </row>
    <row r="17" spans="2:9" ht="16.2" customHeight="1" thickBot="1" x14ac:dyDescent="0.35">
      <c r="B17" s="144"/>
      <c r="C17" s="81" t="s">
        <v>69</v>
      </c>
      <c r="D17" s="9" t="s">
        <v>68</v>
      </c>
      <c r="E17" s="55"/>
      <c r="F17" s="52"/>
      <c r="G17" s="55"/>
      <c r="H17" s="25">
        <f>Tableau9[[#This Row],[facturation client HT]]-(Tableau9[[#This Row],[facturation Fournisseur HT]]+Tableau9[[#This Row],[ Salaire NET]])</f>
        <v>0</v>
      </c>
    </row>
    <row r="18" spans="2:9" ht="16.2" customHeight="1" thickBot="1" x14ac:dyDescent="0.35">
      <c r="B18" s="144"/>
      <c r="C18" s="81" t="s">
        <v>69</v>
      </c>
      <c r="D18" s="9" t="s">
        <v>73</v>
      </c>
      <c r="E18" s="12"/>
      <c r="F18" s="6"/>
      <c r="G18" s="13"/>
      <c r="H18" s="25">
        <f>Tableau9[[#This Row],[facturation client HT]]-(Tableau9[[#This Row],[facturation Fournisseur HT]]+Tableau9[[#This Row],[ Salaire NET]])</f>
        <v>0</v>
      </c>
    </row>
    <row r="19" spans="2:9" ht="19.8" customHeight="1" thickBot="1" x14ac:dyDescent="0.35">
      <c r="B19" s="144"/>
      <c r="C19" s="81" t="s">
        <v>69</v>
      </c>
      <c r="D19" s="77" t="s">
        <v>27</v>
      </c>
      <c r="E19" s="12"/>
      <c r="F19" s="6"/>
      <c r="G19" s="6"/>
      <c r="H19" s="25">
        <f>Tableau9[[#This Row],[facturation client HT]]-(Tableau9[[#This Row],[facturation Fournisseur HT]]+Tableau9[[#This Row],[ Salaire NET]])</f>
        <v>0</v>
      </c>
    </row>
    <row r="20" spans="2:9" ht="16.2" customHeight="1" thickBot="1" x14ac:dyDescent="0.35">
      <c r="B20" s="144"/>
      <c r="C20" s="81" t="s">
        <v>69</v>
      </c>
      <c r="D20" s="48" t="s">
        <v>67</v>
      </c>
      <c r="E20" s="12"/>
      <c r="F20" s="6"/>
      <c r="G20" s="6"/>
      <c r="H20" s="25">
        <f>Tableau9[[#This Row],[facturation client HT]]-(Tableau9[[#This Row],[facturation Fournisseur HT]]+Tableau9[[#This Row],[ Salaire NET]])</f>
        <v>0</v>
      </c>
      <c r="I20" s="75" t="s">
        <v>115</v>
      </c>
    </row>
    <row r="21" spans="2:9" ht="16.05" customHeight="1" x14ac:dyDescent="0.3">
      <c r="B21" s="103"/>
      <c r="G21" s="5" t="s">
        <v>62</v>
      </c>
      <c r="H21" s="50">
        <f>SUM(H14:H20)</f>
        <v>0</v>
      </c>
    </row>
    <row r="22" spans="2:9" ht="16.05" customHeight="1" thickBot="1" x14ac:dyDescent="0.35">
      <c r="B22" s="113"/>
    </row>
    <row r="23" spans="2:9" ht="15.6" x14ac:dyDescent="0.3">
      <c r="E23" s="10"/>
      <c r="G23" s="5" t="s">
        <v>6</v>
      </c>
      <c r="H23" s="50">
        <f>H12+H21</f>
        <v>0</v>
      </c>
    </row>
  </sheetData>
  <mergeCells count="2">
    <mergeCell ref="B6:B11"/>
    <mergeCell ref="B15:B20"/>
  </mergeCells>
  <conditionalFormatting sqref="H15:H20 H5:H11">
    <cfRule type="cellIs" dxfId="103" priority="73" operator="lessThan">
      <formula>0</formula>
    </cfRule>
    <cfRule type="cellIs" dxfId="102" priority="74" operator="greaterThan">
      <formula>0</formula>
    </cfRule>
  </conditionalFormatting>
  <conditionalFormatting sqref="E14:E17 E5:E11">
    <cfRule type="cellIs" dxfId="101" priority="69" operator="lessThan">
      <formula>0</formula>
    </cfRule>
    <cfRule type="cellIs" dxfId="100" priority="70" operator="greaterThanOrEqual">
      <formula>0</formula>
    </cfRule>
  </conditionalFormatting>
  <conditionalFormatting sqref="G5:G10 G14:G17 F15:F18 F11:G11">
    <cfRule type="cellIs" dxfId="99" priority="67" operator="greaterThanOrEqual">
      <formula>0</formula>
    </cfRule>
    <cfRule type="cellIs" dxfId="98" priority="68" operator="lessThanOrEqual">
      <formula>0</formula>
    </cfRule>
  </conditionalFormatting>
  <conditionalFormatting sqref="F5:F8 F14">
    <cfRule type="cellIs" dxfId="97" priority="43" operator="greaterThanOrEqual">
      <formula>0</formula>
    </cfRule>
    <cfRule type="cellIs" dxfId="96" priority="44" operator="lessThanOrEqual">
      <formula>0</formula>
    </cfRule>
  </conditionalFormatting>
  <conditionalFormatting sqref="F10">
    <cfRule type="cellIs" dxfId="95" priority="41" operator="greaterThanOrEqual">
      <formula>0</formula>
    </cfRule>
    <cfRule type="cellIs" dxfId="94" priority="42" operator="lessThanOrEqual">
      <formula>0</formula>
    </cfRule>
  </conditionalFormatting>
  <conditionalFormatting sqref="G19">
    <cfRule type="cellIs" dxfId="93" priority="25" operator="greaterThanOrEqual">
      <formula>0</formula>
    </cfRule>
    <cfRule type="cellIs" dxfId="92" priority="26" operator="lessThanOrEqual">
      <formula>0</formula>
    </cfRule>
  </conditionalFormatting>
  <conditionalFormatting sqref="G20">
    <cfRule type="cellIs" dxfId="91" priority="21" operator="greaterThanOrEqual">
      <formula>0</formula>
    </cfRule>
    <cfRule type="cellIs" dxfId="90" priority="22" operator="lessThanOrEqual">
      <formula>0</formula>
    </cfRule>
  </conditionalFormatting>
  <conditionalFormatting sqref="F20">
    <cfRule type="cellIs" dxfId="89" priority="19" operator="greaterThanOrEqual">
      <formula>0</formula>
    </cfRule>
    <cfRule type="cellIs" dxfId="88" priority="20" operator="lessThanOrEqual">
      <formula>0</formula>
    </cfRule>
  </conditionalFormatting>
  <conditionalFormatting sqref="F19">
    <cfRule type="cellIs" dxfId="87" priority="17" operator="greaterThanOrEqual">
      <formula>0</formula>
    </cfRule>
    <cfRule type="cellIs" dxfId="86" priority="18" operator="lessThanOrEqual">
      <formula>0</formula>
    </cfRule>
  </conditionalFormatting>
  <conditionalFormatting sqref="F9">
    <cfRule type="cellIs" dxfId="85" priority="13" operator="greaterThanOrEqual">
      <formula>0</formula>
    </cfRule>
    <cfRule type="cellIs" dxfId="84" priority="14" operator="lessThanOrEqual">
      <formula>0</formula>
    </cfRule>
  </conditionalFormatting>
  <conditionalFormatting sqref="H12">
    <cfRule type="cellIs" dxfId="83" priority="7" operator="lessThan">
      <formula>0</formula>
    </cfRule>
    <cfRule type="cellIs" dxfId="82" priority="8" operator="greaterThan">
      <formula>0</formula>
    </cfRule>
  </conditionalFormatting>
  <conditionalFormatting sqref="H21">
    <cfRule type="cellIs" dxfId="81" priority="5" operator="lessThan">
      <formula>0</formula>
    </cfRule>
    <cfRule type="cellIs" dxfId="80" priority="6" operator="greaterThan">
      <formula>0</formula>
    </cfRule>
  </conditionalFormatting>
  <conditionalFormatting sqref="H14">
    <cfRule type="cellIs" dxfId="79" priority="3" operator="lessThan">
      <formula>0</formula>
    </cfRule>
    <cfRule type="cellIs" dxfId="78" priority="4" operator="greaterThan">
      <formula>0</formula>
    </cfRule>
  </conditionalFormatting>
  <conditionalFormatting sqref="H23">
    <cfRule type="cellIs" dxfId="77" priority="1" operator="lessThan">
      <formula>0</formula>
    </cfRule>
    <cfRule type="cellIs" dxfId="76" priority="2" operator="greaterThan">
      <formula>0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2"/>
  <sheetViews>
    <sheetView zoomScale="102" zoomScaleNormal="102" workbookViewId="0">
      <selection activeCell="E12" sqref="E12:G19"/>
    </sheetView>
  </sheetViews>
  <sheetFormatPr baseColWidth="10" defaultRowHeight="14.4" x14ac:dyDescent="0.3"/>
  <cols>
    <col min="2" max="2" width="25.77734375" bestFit="1" customWidth="1"/>
    <col min="3" max="3" width="14.77734375" bestFit="1" customWidth="1"/>
    <col min="4" max="4" width="31.21875" bestFit="1" customWidth="1"/>
    <col min="5" max="5" width="22.109375" bestFit="1" customWidth="1"/>
    <col min="6" max="6" width="25.6640625" bestFit="1" customWidth="1"/>
    <col min="7" max="7" width="24.109375" bestFit="1" customWidth="1"/>
    <col min="8" max="8" width="15.5546875" bestFit="1" customWidth="1"/>
    <col min="9" max="9" width="17.109375" customWidth="1"/>
    <col min="10" max="10" width="72.664062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6" t="s">
        <v>24</v>
      </c>
      <c r="H2" s="56">
        <v>3.35</v>
      </c>
    </row>
    <row r="3" spans="2:41" ht="15" thickBot="1" x14ac:dyDescent="0.35"/>
    <row r="4" spans="2:41" ht="16.2" thickBot="1" x14ac:dyDescent="0.35">
      <c r="C4" s="23" t="s">
        <v>59</v>
      </c>
      <c r="D4" s="11" t="s">
        <v>0</v>
      </c>
      <c r="E4" s="19" t="s">
        <v>3</v>
      </c>
      <c r="F4" s="20" t="s">
        <v>4</v>
      </c>
      <c r="G4" s="21" t="s">
        <v>26</v>
      </c>
      <c r="H4" s="24" t="s">
        <v>5</v>
      </c>
    </row>
    <row r="5" spans="2:41" ht="29.4" thickBot="1" x14ac:dyDescent="0.35">
      <c r="B5" s="49" t="s">
        <v>1</v>
      </c>
      <c r="C5" s="82" t="s">
        <v>35</v>
      </c>
      <c r="D5" s="9" t="s">
        <v>20</v>
      </c>
      <c r="E5" s="6"/>
      <c r="F5" s="50"/>
      <c r="G5" s="50"/>
      <c r="H5" s="25">
        <f>E5-(F5+G5)</f>
        <v>0</v>
      </c>
      <c r="I5" s="1"/>
      <c r="J5" s="73" t="s">
        <v>110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2" thickBot="1" x14ac:dyDescent="0.35">
      <c r="B6" s="144" t="s">
        <v>2</v>
      </c>
      <c r="C6" s="82" t="s">
        <v>35</v>
      </c>
      <c r="D6" s="16" t="s">
        <v>28</v>
      </c>
      <c r="E6" s="6"/>
      <c r="F6" s="50"/>
      <c r="G6" s="50"/>
      <c r="H6" s="25">
        <f t="shared" ref="H6:H19" si="0">E6-(F6+G6)</f>
        <v>0</v>
      </c>
    </row>
    <row r="7" spans="2:41" ht="16.2" thickBot="1" x14ac:dyDescent="0.35">
      <c r="B7" s="144"/>
      <c r="C7" s="82" t="s">
        <v>35</v>
      </c>
      <c r="D7" s="9" t="s">
        <v>25</v>
      </c>
      <c r="E7" s="12"/>
      <c r="F7" s="52"/>
      <c r="G7" s="50"/>
      <c r="H7" s="25">
        <f t="shared" si="0"/>
        <v>0</v>
      </c>
    </row>
    <row r="8" spans="2:41" ht="16.2" thickBot="1" x14ac:dyDescent="0.35">
      <c r="B8" s="144"/>
      <c r="C8" s="82" t="s">
        <v>35</v>
      </c>
      <c r="D8" s="54" t="s">
        <v>70</v>
      </c>
      <c r="E8" s="51"/>
      <c r="F8" s="52"/>
      <c r="G8" s="52"/>
      <c r="H8" s="53">
        <f>E8-(F8+G8)</f>
        <v>0</v>
      </c>
    </row>
    <row r="9" spans="2:41" ht="16.2" thickBot="1" x14ac:dyDescent="0.35">
      <c r="B9" s="144"/>
      <c r="C9" s="88" t="s">
        <v>35</v>
      </c>
      <c r="D9" s="31" t="s">
        <v>22</v>
      </c>
      <c r="E9" s="33"/>
      <c r="F9" s="89"/>
      <c r="G9" s="89"/>
      <c r="H9" s="90">
        <f t="shared" si="0"/>
        <v>0</v>
      </c>
    </row>
    <row r="10" spans="2:41" s="102" customFormat="1" ht="16.2" customHeight="1" x14ac:dyDescent="0.3">
      <c r="B10" s="97"/>
      <c r="C10" s="98"/>
      <c r="D10" s="99"/>
      <c r="E10" s="100"/>
      <c r="F10" s="101"/>
      <c r="G10" s="5" t="s">
        <v>61</v>
      </c>
      <c r="H10" s="90">
        <f>SUM(H5:H9)</f>
        <v>0</v>
      </c>
    </row>
    <row r="11" spans="2:41" s="109" customFormat="1" ht="16.2" customHeight="1" x14ac:dyDescent="0.3">
      <c r="B11" s="103"/>
      <c r="C11" s="104"/>
      <c r="D11" s="105"/>
      <c r="E11" s="106"/>
      <c r="F11" s="107"/>
      <c r="G11" s="107"/>
      <c r="H11" s="108"/>
    </row>
    <row r="12" spans="2:41" ht="16.2" thickBot="1" x14ac:dyDescent="0.35">
      <c r="B12" s="144" t="s">
        <v>2</v>
      </c>
      <c r="C12" s="92" t="s">
        <v>36</v>
      </c>
      <c r="D12" s="93" t="s">
        <v>23</v>
      </c>
      <c r="E12" s="94"/>
      <c r="F12" s="95"/>
      <c r="G12" s="95"/>
      <c r="H12" s="96">
        <f>E12-(F12+G12)</f>
        <v>0</v>
      </c>
    </row>
    <row r="13" spans="2:41" ht="16.2" thickBot="1" x14ac:dyDescent="0.35">
      <c r="B13" s="144"/>
      <c r="C13" s="81" t="s">
        <v>36</v>
      </c>
      <c r="D13" s="9" t="s">
        <v>68</v>
      </c>
      <c r="E13" s="6"/>
      <c r="F13" s="50"/>
      <c r="G13" s="50"/>
      <c r="H13" s="25">
        <f>E13-(F13+G13)</f>
        <v>0</v>
      </c>
    </row>
    <row r="14" spans="2:41" ht="16.2" thickBot="1" x14ac:dyDescent="0.35">
      <c r="B14" s="144"/>
      <c r="C14" s="81" t="s">
        <v>36</v>
      </c>
      <c r="D14" s="9" t="s">
        <v>27</v>
      </c>
      <c r="E14" s="12"/>
      <c r="F14" s="50"/>
      <c r="G14" s="50"/>
      <c r="H14" s="25">
        <f>E14-(F14+G14)</f>
        <v>0</v>
      </c>
    </row>
    <row r="15" spans="2:41" ht="16.2" thickBot="1" x14ac:dyDescent="0.35">
      <c r="B15" s="144"/>
      <c r="C15" s="81" t="s">
        <v>36</v>
      </c>
      <c r="D15" s="9" t="s">
        <v>71</v>
      </c>
      <c r="E15" s="6"/>
      <c r="F15" s="50"/>
      <c r="G15" s="50"/>
      <c r="H15" s="25">
        <f t="shared" si="0"/>
        <v>0</v>
      </c>
    </row>
    <row r="16" spans="2:41" ht="16.2" thickBot="1" x14ac:dyDescent="0.35">
      <c r="B16" s="144"/>
      <c r="C16" s="81" t="s">
        <v>36</v>
      </c>
      <c r="D16" s="9" t="s">
        <v>72</v>
      </c>
      <c r="E16" s="51"/>
      <c r="F16" s="52"/>
      <c r="G16" s="52"/>
      <c r="H16" s="53">
        <f>E16-(F16+G16)</f>
        <v>0</v>
      </c>
    </row>
    <row r="17" spans="2:8" ht="16.2" thickBot="1" x14ac:dyDescent="0.35">
      <c r="B17" s="144"/>
      <c r="C17" s="81" t="s">
        <v>36</v>
      </c>
      <c r="D17" s="9" t="s">
        <v>29</v>
      </c>
      <c r="E17" s="12"/>
      <c r="F17" s="50"/>
      <c r="G17" s="50"/>
      <c r="H17" s="25">
        <f t="shared" si="0"/>
        <v>0</v>
      </c>
    </row>
    <row r="18" spans="2:8" ht="16.2" thickBot="1" x14ac:dyDescent="0.35">
      <c r="B18" s="144"/>
      <c r="C18" s="81" t="s">
        <v>36</v>
      </c>
      <c r="D18" s="9" t="s">
        <v>30</v>
      </c>
      <c r="E18" s="12"/>
      <c r="F18" s="50"/>
      <c r="G18" s="50"/>
      <c r="H18" s="25">
        <f t="shared" si="0"/>
        <v>0</v>
      </c>
    </row>
    <row r="19" spans="2:8" ht="16.2" thickBot="1" x14ac:dyDescent="0.35">
      <c r="B19" s="147"/>
      <c r="C19" s="81" t="s">
        <v>36</v>
      </c>
      <c r="D19" s="9" t="s">
        <v>67</v>
      </c>
      <c r="E19" s="12"/>
      <c r="F19" s="50"/>
      <c r="G19" s="50"/>
      <c r="H19" s="25">
        <f t="shared" si="0"/>
        <v>0</v>
      </c>
    </row>
    <row r="20" spans="2:8" ht="15.6" x14ac:dyDescent="0.3">
      <c r="G20" s="5" t="s">
        <v>62</v>
      </c>
      <c r="H20" s="91">
        <f>SUM(H12:H19)</f>
        <v>0</v>
      </c>
    </row>
    <row r="21" spans="2:8" ht="15" thickBot="1" x14ac:dyDescent="0.35"/>
    <row r="22" spans="2:8" ht="15.6" x14ac:dyDescent="0.3">
      <c r="G22" s="5" t="s">
        <v>6</v>
      </c>
      <c r="H22" s="91">
        <f>H10+H20</f>
        <v>0</v>
      </c>
    </row>
  </sheetData>
  <mergeCells count="2">
    <mergeCell ref="B6:B9"/>
    <mergeCell ref="B12:B19"/>
  </mergeCells>
  <conditionalFormatting sqref="H5:H9 H12:H19">
    <cfRule type="cellIs" dxfId="62" priority="51" operator="lessThan">
      <formula>0</formula>
    </cfRule>
    <cfRule type="cellIs" dxfId="61" priority="52" operator="greaterThan">
      <formula>0</formula>
    </cfRule>
  </conditionalFormatting>
  <conditionalFormatting sqref="E5:E6 E8:E9 E12:E13">
    <cfRule type="cellIs" dxfId="60" priority="47" operator="lessThan">
      <formula>0</formula>
    </cfRule>
    <cfRule type="cellIs" dxfId="59" priority="48" operator="greaterThanOrEqual">
      <formula>0</formula>
    </cfRule>
  </conditionalFormatting>
  <conditionalFormatting sqref="G15:G18 F5:G9 F12:G14">
    <cfRule type="cellIs" dxfId="58" priority="25" operator="greaterThanOrEqual">
      <formula>0</formula>
    </cfRule>
    <cfRule type="cellIs" dxfId="57" priority="26" operator="lessThanOrEqual">
      <formula>0</formula>
    </cfRule>
  </conditionalFormatting>
  <conditionalFormatting sqref="F17">
    <cfRule type="cellIs" dxfId="56" priority="23" operator="greaterThanOrEqual">
      <formula>0</formula>
    </cfRule>
    <cfRule type="cellIs" dxfId="55" priority="24" operator="lessThanOrEqual">
      <formula>0</formula>
    </cfRule>
  </conditionalFormatting>
  <conditionalFormatting sqref="F15:F16">
    <cfRule type="cellIs" dxfId="54" priority="21" operator="greaterThanOrEqual">
      <formula>0</formula>
    </cfRule>
    <cfRule type="cellIs" dxfId="53" priority="22" operator="lessThanOrEqual">
      <formula>0</formula>
    </cfRule>
  </conditionalFormatting>
  <conditionalFormatting sqref="F18">
    <cfRule type="cellIs" dxfId="52" priority="19" operator="greaterThanOrEqual">
      <formula>0</formula>
    </cfRule>
    <cfRule type="cellIs" dxfId="51" priority="20" operator="lessThanOrEqual">
      <formula>0</formula>
    </cfRule>
  </conditionalFormatting>
  <conditionalFormatting sqref="G19">
    <cfRule type="cellIs" dxfId="50" priority="15" operator="greaterThanOrEqual">
      <formula>0</formula>
    </cfRule>
    <cfRule type="cellIs" dxfId="49" priority="16" operator="lessThanOrEqual">
      <formula>0</formula>
    </cfRule>
  </conditionalFormatting>
  <conditionalFormatting sqref="F19">
    <cfRule type="cellIs" dxfId="48" priority="11" operator="greaterThanOrEqual">
      <formula>0</formula>
    </cfRule>
    <cfRule type="cellIs" dxfId="47" priority="12" operator="lessThanOrEqual">
      <formula>0</formula>
    </cfRule>
  </conditionalFormatting>
  <conditionalFormatting sqref="E15:E16">
    <cfRule type="cellIs" dxfId="46" priority="7" operator="lessThan">
      <formula>0</formula>
    </cfRule>
    <cfRule type="cellIs" dxfId="45" priority="8" operator="greaterThanOrEqual">
      <formula>0</formula>
    </cfRule>
  </conditionalFormatting>
  <conditionalFormatting sqref="H10">
    <cfRule type="cellIs" dxfId="44" priority="5" operator="lessThan">
      <formula>0</formula>
    </cfRule>
    <cfRule type="cellIs" dxfId="43" priority="6" operator="greaterThan">
      <formula>0</formula>
    </cfRule>
  </conditionalFormatting>
  <conditionalFormatting sqref="H20">
    <cfRule type="cellIs" dxfId="42" priority="3" operator="lessThan">
      <formula>0</formula>
    </cfRule>
    <cfRule type="cellIs" dxfId="41" priority="4" operator="greaterThan">
      <formula>0</formula>
    </cfRule>
  </conditionalFormatting>
  <conditionalFormatting sqref="H22">
    <cfRule type="cellIs" dxfId="40" priority="1" operator="lessThan">
      <formula>0</formula>
    </cfRule>
    <cfRule type="cellIs" dxfId="39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O23"/>
  <sheetViews>
    <sheetView zoomScale="99" zoomScaleNormal="99" workbookViewId="0">
      <selection activeCell="E12" sqref="E12:G20"/>
    </sheetView>
  </sheetViews>
  <sheetFormatPr baseColWidth="10" defaultRowHeight="14.4" x14ac:dyDescent="0.3"/>
  <cols>
    <col min="2" max="2" width="26" bestFit="1" customWidth="1"/>
    <col min="3" max="3" width="14" bestFit="1" customWidth="1"/>
    <col min="4" max="4" width="30.88671875" bestFit="1" customWidth="1"/>
    <col min="5" max="5" width="19.6640625" bestFit="1" customWidth="1"/>
    <col min="6" max="7" width="23.6640625" bestFit="1" customWidth="1"/>
    <col min="8" max="8" width="13" bestFit="1" customWidth="1"/>
    <col min="9" max="9" width="17.109375" customWidth="1"/>
    <col min="10" max="10" width="73.3320312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6" t="s">
        <v>24</v>
      </c>
      <c r="H2" s="56">
        <v>3.35</v>
      </c>
    </row>
    <row r="3" spans="2:41" ht="15" thickBot="1" x14ac:dyDescent="0.35"/>
    <row r="4" spans="2:41" ht="16.2" thickBot="1" x14ac:dyDescent="0.35">
      <c r="C4" s="11" t="s">
        <v>59</v>
      </c>
      <c r="D4" s="11" t="s">
        <v>0</v>
      </c>
      <c r="E4" s="19" t="s">
        <v>3</v>
      </c>
      <c r="F4" s="20" t="s">
        <v>4</v>
      </c>
      <c r="G4" s="21" t="s">
        <v>26</v>
      </c>
      <c r="H4" s="22" t="s">
        <v>5</v>
      </c>
    </row>
    <row r="5" spans="2:41" ht="29.4" thickBot="1" x14ac:dyDescent="0.35">
      <c r="B5" s="18" t="s">
        <v>1</v>
      </c>
      <c r="C5" s="82" t="s">
        <v>35</v>
      </c>
      <c r="D5" s="9" t="s">
        <v>20</v>
      </c>
      <c r="E5" s="6"/>
      <c r="F5" s="6"/>
      <c r="G5" s="6"/>
      <c r="H5" s="6">
        <f>E5-(F5+G5)</f>
        <v>0</v>
      </c>
      <c r="I5" s="1"/>
      <c r="J5" s="73" t="s">
        <v>110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05" customHeight="1" thickBot="1" x14ac:dyDescent="0.35">
      <c r="B6" s="146" t="s">
        <v>2</v>
      </c>
      <c r="C6" s="82" t="s">
        <v>35</v>
      </c>
      <c r="D6" s="16" t="s">
        <v>28</v>
      </c>
      <c r="E6" s="6"/>
      <c r="F6" s="6"/>
      <c r="G6" s="6"/>
      <c r="H6" s="6">
        <f t="shared" ref="H6:H19" si="0">E6-(F6+G6)</f>
        <v>0</v>
      </c>
    </row>
    <row r="7" spans="2:41" ht="16.05" customHeight="1" thickBot="1" x14ac:dyDescent="0.35">
      <c r="B7" s="145"/>
      <c r="C7" s="82" t="s">
        <v>35</v>
      </c>
      <c r="D7" s="9" t="s">
        <v>25</v>
      </c>
      <c r="E7" s="6"/>
      <c r="F7" s="6"/>
      <c r="G7" s="6"/>
      <c r="H7" s="6">
        <f t="shared" si="0"/>
        <v>0</v>
      </c>
    </row>
    <row r="8" spans="2:41" ht="16.05" customHeight="1" thickBot="1" x14ac:dyDescent="0.35">
      <c r="B8" s="145"/>
      <c r="C8" s="82" t="s">
        <v>35</v>
      </c>
      <c r="D8" s="9" t="s">
        <v>70</v>
      </c>
      <c r="E8" s="12"/>
      <c r="F8" s="13"/>
      <c r="G8" s="13"/>
      <c r="H8" s="6">
        <f>E8-(F8+G8)</f>
        <v>0</v>
      </c>
    </row>
    <row r="9" spans="2:41" ht="16.05" customHeight="1" thickBot="1" x14ac:dyDescent="0.35">
      <c r="B9" s="145"/>
      <c r="C9" s="82" t="s">
        <v>35</v>
      </c>
      <c r="D9" s="9" t="s">
        <v>22</v>
      </c>
      <c r="E9" s="12"/>
      <c r="F9" s="13"/>
      <c r="G9" s="13"/>
      <c r="H9" s="6">
        <f t="shared" si="0"/>
        <v>0</v>
      </c>
    </row>
    <row r="10" spans="2:41" s="84" customFormat="1" ht="16.05" customHeight="1" x14ac:dyDescent="0.3">
      <c r="B10" s="86"/>
      <c r="G10" s="5" t="s">
        <v>61</v>
      </c>
      <c r="H10" s="6">
        <f>SUM(H5:H9)</f>
        <v>0</v>
      </c>
    </row>
    <row r="11" spans="2:41" s="84" customFormat="1" ht="16.05" customHeight="1" thickBot="1" x14ac:dyDescent="0.35">
      <c r="B11" s="86"/>
    </row>
    <row r="12" spans="2:41" ht="16.05" customHeight="1" thickBot="1" x14ac:dyDescent="0.35">
      <c r="B12" s="145" t="s">
        <v>2</v>
      </c>
      <c r="C12" s="81" t="s">
        <v>36</v>
      </c>
      <c r="D12" s="9" t="s">
        <v>27</v>
      </c>
      <c r="E12" s="6"/>
      <c r="F12" s="6"/>
      <c r="G12" s="6"/>
      <c r="H12" s="6">
        <f>E12-(F12+G12)</f>
        <v>0</v>
      </c>
    </row>
    <row r="13" spans="2:41" ht="16.05" customHeight="1" thickBot="1" x14ac:dyDescent="0.35">
      <c r="B13" s="145"/>
      <c r="C13" s="81" t="s">
        <v>36</v>
      </c>
      <c r="D13" s="9" t="s">
        <v>23</v>
      </c>
      <c r="E13" s="12"/>
      <c r="F13" s="13"/>
      <c r="G13" s="13"/>
      <c r="H13" s="6">
        <f>E13-(F13+G13)</f>
        <v>0</v>
      </c>
    </row>
    <row r="14" spans="2:41" ht="16.05" customHeight="1" thickBot="1" x14ac:dyDescent="0.35">
      <c r="B14" s="145"/>
      <c r="C14" s="81" t="s">
        <v>36</v>
      </c>
      <c r="D14" s="9" t="s">
        <v>68</v>
      </c>
      <c r="E14" s="12"/>
      <c r="F14" s="13"/>
      <c r="G14" s="13"/>
      <c r="H14" s="6">
        <f>E14-(F14+G14)</f>
        <v>0</v>
      </c>
    </row>
    <row r="15" spans="2:41" ht="16.05" customHeight="1" thickBot="1" x14ac:dyDescent="0.35">
      <c r="B15" s="145"/>
      <c r="C15" s="81" t="s">
        <v>36</v>
      </c>
      <c r="D15" s="9" t="s">
        <v>71</v>
      </c>
      <c r="E15" s="12"/>
      <c r="F15" s="13"/>
      <c r="G15" s="13"/>
      <c r="H15" s="6">
        <f t="shared" si="0"/>
        <v>0</v>
      </c>
    </row>
    <row r="16" spans="2:41" ht="16.05" customHeight="1" thickBot="1" x14ac:dyDescent="0.35">
      <c r="B16" s="145"/>
      <c r="C16" s="81" t="s">
        <v>36</v>
      </c>
      <c r="D16" s="9" t="s">
        <v>72</v>
      </c>
      <c r="E16" s="12"/>
      <c r="F16" s="13"/>
      <c r="G16" s="13"/>
      <c r="H16" s="6">
        <f t="shared" si="0"/>
        <v>0</v>
      </c>
    </row>
    <row r="17" spans="2:8" ht="16.05" customHeight="1" thickBot="1" x14ac:dyDescent="0.35">
      <c r="B17" s="145"/>
      <c r="C17" s="81" t="s">
        <v>36</v>
      </c>
      <c r="D17" s="9" t="s">
        <v>29</v>
      </c>
      <c r="E17" s="12"/>
      <c r="F17" s="13"/>
      <c r="G17" s="13"/>
      <c r="H17" s="6">
        <f t="shared" si="0"/>
        <v>0</v>
      </c>
    </row>
    <row r="18" spans="2:8" ht="16.05" customHeight="1" thickBot="1" x14ac:dyDescent="0.35">
      <c r="B18" s="145"/>
      <c r="C18" s="81" t="s">
        <v>36</v>
      </c>
      <c r="D18" s="9" t="s">
        <v>30</v>
      </c>
      <c r="E18" s="12"/>
      <c r="F18" s="13"/>
      <c r="G18" s="13"/>
      <c r="H18" s="6">
        <f t="shared" si="0"/>
        <v>0</v>
      </c>
    </row>
    <row r="19" spans="2:8" ht="16.05" customHeight="1" thickBot="1" x14ac:dyDescent="0.35">
      <c r="B19" s="145"/>
      <c r="C19" s="81" t="s">
        <v>36</v>
      </c>
      <c r="D19" s="9" t="s">
        <v>67</v>
      </c>
      <c r="E19" s="12"/>
      <c r="F19" s="13"/>
      <c r="G19" s="13"/>
      <c r="H19" s="6">
        <f t="shared" si="0"/>
        <v>0</v>
      </c>
    </row>
    <row r="20" spans="2:8" ht="16.05" customHeight="1" thickBot="1" x14ac:dyDescent="0.35">
      <c r="B20" s="145"/>
      <c r="C20" s="81" t="s">
        <v>36</v>
      </c>
      <c r="D20" s="9" t="s">
        <v>79</v>
      </c>
      <c r="E20" s="12"/>
      <c r="F20" s="13"/>
      <c r="G20" s="13"/>
      <c r="H20" s="6">
        <f>E20-(F20+G20)</f>
        <v>0</v>
      </c>
    </row>
    <row r="21" spans="2:8" ht="15.6" x14ac:dyDescent="0.3">
      <c r="G21" s="5" t="s">
        <v>62</v>
      </c>
      <c r="H21" s="6">
        <f>SUM(H12:H20)</f>
        <v>0</v>
      </c>
    </row>
    <row r="22" spans="2:8" ht="15" thickBot="1" x14ac:dyDescent="0.35"/>
    <row r="23" spans="2:8" ht="15.6" x14ac:dyDescent="0.3">
      <c r="G23" s="5" t="s">
        <v>6</v>
      </c>
      <c r="H23" s="6">
        <f>H10+H21</f>
        <v>0</v>
      </c>
    </row>
  </sheetData>
  <mergeCells count="2">
    <mergeCell ref="B12:B20"/>
    <mergeCell ref="B6:B9"/>
  </mergeCells>
  <conditionalFormatting sqref="H23 H12:H20 H5:H9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E5:E7 E12">
    <cfRule type="cellIs" dxfId="29" priority="29" operator="lessThan">
      <formula>0</formula>
    </cfRule>
    <cfRule type="cellIs" dxfId="28" priority="30" operator="greaterThanOrEqual">
      <formula>0</formula>
    </cfRule>
  </conditionalFormatting>
  <conditionalFormatting sqref="G5:G7">
    <cfRule type="cellIs" dxfId="27" priority="27" operator="greaterThanOrEqual">
      <formula>0</formula>
    </cfRule>
    <cfRule type="cellIs" dxfId="26" priority="28" operator="lessThanOrEqual">
      <formula>0</formula>
    </cfRule>
  </conditionalFormatting>
  <conditionalFormatting sqref="G12">
    <cfRule type="cellIs" dxfId="25" priority="13" operator="greaterThanOrEqual">
      <formula>0</formula>
    </cfRule>
    <cfRule type="cellIs" dxfId="24" priority="14" operator="lessThanOrEqual">
      <formula>0</formula>
    </cfRule>
  </conditionalFormatting>
  <conditionalFormatting sqref="F5:F7">
    <cfRule type="cellIs" dxfId="23" priority="7" operator="greaterThanOrEqual">
      <formula>0</formula>
    </cfRule>
    <cfRule type="cellIs" dxfId="22" priority="8" operator="lessThanOrEqual">
      <formula>0</formula>
    </cfRule>
  </conditionalFormatting>
  <conditionalFormatting sqref="F12">
    <cfRule type="cellIs" dxfId="21" priority="5" operator="greaterThanOrEqual">
      <formula>0</formula>
    </cfRule>
    <cfRule type="cellIs" dxfId="20" priority="6" operator="lessThanOrEqual">
      <formula>0</formula>
    </cfRule>
  </conditionalFormatting>
  <conditionalFormatting sqref="H10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H21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6"/>
  <sheetViews>
    <sheetView zoomScale="95" zoomScaleNormal="95" workbookViewId="0">
      <selection activeCell="G22" sqref="G22"/>
    </sheetView>
  </sheetViews>
  <sheetFormatPr baseColWidth="10" defaultRowHeight="14.4" x14ac:dyDescent="0.3"/>
  <cols>
    <col min="2" max="2" width="26.21875" bestFit="1" customWidth="1"/>
    <col min="3" max="3" width="13.77734375" bestFit="1" customWidth="1"/>
    <col min="4" max="4" width="30.88671875" bestFit="1" customWidth="1"/>
    <col min="5" max="5" width="19.6640625" bestFit="1" customWidth="1"/>
    <col min="6" max="6" width="23.33203125" bestFit="1" customWidth="1"/>
    <col min="7" max="7" width="23.5546875" bestFit="1" customWidth="1"/>
    <col min="8" max="8" width="12.88671875" bestFit="1" customWidth="1"/>
    <col min="9" max="9" width="17.109375" customWidth="1"/>
    <col min="10" max="10" width="104.2187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6" t="s">
        <v>24</v>
      </c>
      <c r="H2" s="56">
        <v>3.31</v>
      </c>
    </row>
    <row r="3" spans="2:41" ht="15" thickBot="1" x14ac:dyDescent="0.35"/>
    <row r="4" spans="2:41" ht="16.2" thickBot="1" x14ac:dyDescent="0.35">
      <c r="C4" s="11" t="s">
        <v>59</v>
      </c>
      <c r="D4" s="11" t="s">
        <v>0</v>
      </c>
      <c r="E4" s="19" t="s">
        <v>3</v>
      </c>
      <c r="F4" s="20" t="s">
        <v>4</v>
      </c>
      <c r="G4" s="21" t="s">
        <v>26</v>
      </c>
      <c r="H4" s="22" t="s">
        <v>5</v>
      </c>
    </row>
    <row r="5" spans="2:41" ht="29.4" thickBot="1" x14ac:dyDescent="0.35">
      <c r="B5" s="18" t="s">
        <v>1</v>
      </c>
      <c r="C5" s="82" t="s">
        <v>35</v>
      </c>
      <c r="D5" s="9" t="s">
        <v>20</v>
      </c>
      <c r="E5" s="6"/>
      <c r="F5" s="6"/>
      <c r="G5" s="6"/>
      <c r="H5" s="6">
        <f>E5-(F5+G5)</f>
        <v>0</v>
      </c>
      <c r="I5" s="1"/>
      <c r="J5" s="73" t="s">
        <v>111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05" customHeight="1" thickBot="1" x14ac:dyDescent="0.35">
      <c r="B6" s="146" t="s">
        <v>2</v>
      </c>
      <c r="C6" s="82" t="s">
        <v>35</v>
      </c>
      <c r="D6" s="16" t="s">
        <v>28</v>
      </c>
      <c r="E6" s="6"/>
      <c r="F6" s="6"/>
      <c r="G6" s="6"/>
      <c r="H6" s="6">
        <f t="shared" ref="H6:H22" si="0">E6-(F6+G6)</f>
        <v>0</v>
      </c>
    </row>
    <row r="7" spans="2:41" ht="16.05" customHeight="1" thickBot="1" x14ac:dyDescent="0.35">
      <c r="B7" s="145"/>
      <c r="C7" s="82" t="s">
        <v>35</v>
      </c>
      <c r="D7" s="9" t="s">
        <v>25</v>
      </c>
      <c r="E7" s="6"/>
      <c r="F7" s="6"/>
      <c r="G7" s="6"/>
      <c r="H7" s="6">
        <f t="shared" si="0"/>
        <v>0</v>
      </c>
    </row>
    <row r="8" spans="2:41" ht="16.05" customHeight="1" thickBot="1" x14ac:dyDescent="0.35">
      <c r="B8" s="145"/>
      <c r="C8" s="82" t="s">
        <v>35</v>
      </c>
      <c r="D8" s="9" t="s">
        <v>70</v>
      </c>
      <c r="E8" s="6"/>
      <c r="F8" s="6"/>
      <c r="G8" s="6"/>
      <c r="H8" s="6">
        <f>E8-(F8+G8)</f>
        <v>0</v>
      </c>
    </row>
    <row r="9" spans="2:41" ht="16.05" customHeight="1" thickBot="1" x14ac:dyDescent="0.35">
      <c r="B9" s="145"/>
      <c r="C9" s="82" t="s">
        <v>35</v>
      </c>
      <c r="D9" s="9" t="s">
        <v>22</v>
      </c>
      <c r="E9" s="6"/>
      <c r="F9" s="6"/>
      <c r="G9" s="6"/>
      <c r="H9" s="6">
        <f t="shared" si="0"/>
        <v>0</v>
      </c>
    </row>
    <row r="10" spans="2:41" ht="16.05" customHeight="1" x14ac:dyDescent="0.3">
      <c r="B10" s="86"/>
      <c r="G10" s="5" t="s">
        <v>61</v>
      </c>
      <c r="H10" s="6">
        <f>SUM(H5:H9)</f>
        <v>0</v>
      </c>
    </row>
    <row r="11" spans="2:41" ht="16.05" customHeight="1" thickBot="1" x14ac:dyDescent="0.35">
      <c r="B11" s="86"/>
    </row>
    <row r="12" spans="2:41" ht="16.05" customHeight="1" thickBot="1" x14ac:dyDescent="0.35">
      <c r="B12" s="145" t="s">
        <v>2</v>
      </c>
      <c r="C12" s="81" t="s">
        <v>36</v>
      </c>
      <c r="D12" s="9" t="s">
        <v>27</v>
      </c>
      <c r="E12" s="6"/>
      <c r="F12" s="6"/>
      <c r="G12" s="6"/>
      <c r="H12" s="6">
        <f>E12-(F12+G12)</f>
        <v>0</v>
      </c>
    </row>
    <row r="13" spans="2:41" ht="16.05" customHeight="1" thickBot="1" x14ac:dyDescent="0.35">
      <c r="B13" s="145"/>
      <c r="C13" s="81" t="s">
        <v>36</v>
      </c>
      <c r="D13" s="9" t="s">
        <v>23</v>
      </c>
      <c r="E13" s="6"/>
      <c r="F13" s="6"/>
      <c r="G13" s="6"/>
      <c r="H13" s="6">
        <f>E13-(F13+G13)</f>
        <v>0</v>
      </c>
    </row>
    <row r="14" spans="2:41" ht="16.05" customHeight="1" thickBot="1" x14ac:dyDescent="0.35">
      <c r="B14" s="145"/>
      <c r="C14" s="81" t="s">
        <v>36</v>
      </c>
      <c r="D14" s="9" t="s">
        <v>68</v>
      </c>
      <c r="E14" s="6"/>
      <c r="F14" s="6"/>
      <c r="G14" s="6"/>
      <c r="H14" s="6">
        <f>E14-(F14+G14)</f>
        <v>0</v>
      </c>
    </row>
    <row r="15" spans="2:41" ht="16.05" customHeight="1" thickBot="1" x14ac:dyDescent="0.35">
      <c r="B15" s="145"/>
      <c r="C15" s="81" t="s">
        <v>36</v>
      </c>
      <c r="D15" s="9" t="s">
        <v>71</v>
      </c>
      <c r="E15" s="6"/>
      <c r="F15" s="6"/>
      <c r="G15" s="6"/>
      <c r="H15" s="6">
        <f t="shared" si="0"/>
        <v>0</v>
      </c>
    </row>
    <row r="16" spans="2:41" ht="16.05" customHeight="1" thickBot="1" x14ac:dyDescent="0.35">
      <c r="B16" s="145"/>
      <c r="C16" s="81" t="s">
        <v>36</v>
      </c>
      <c r="D16" s="9" t="s">
        <v>72</v>
      </c>
      <c r="E16" s="6"/>
      <c r="F16" s="6"/>
      <c r="G16" s="6"/>
      <c r="H16" s="6">
        <f t="shared" si="0"/>
        <v>0</v>
      </c>
    </row>
    <row r="17" spans="2:8" ht="16.05" customHeight="1" thickBot="1" x14ac:dyDescent="0.35">
      <c r="B17" s="145"/>
      <c r="C17" s="81" t="s">
        <v>36</v>
      </c>
      <c r="D17" s="9" t="s">
        <v>29</v>
      </c>
      <c r="E17" s="6"/>
      <c r="F17" s="6"/>
      <c r="G17" s="6"/>
      <c r="H17" s="6">
        <f t="shared" si="0"/>
        <v>0</v>
      </c>
    </row>
    <row r="18" spans="2:8" ht="16.05" customHeight="1" thickBot="1" x14ac:dyDescent="0.35">
      <c r="B18" s="145"/>
      <c r="C18" s="81" t="s">
        <v>36</v>
      </c>
      <c r="D18" s="9" t="s">
        <v>30</v>
      </c>
      <c r="E18" s="6"/>
      <c r="F18" s="6"/>
      <c r="G18" s="6"/>
      <c r="H18" s="6">
        <f t="shared" si="0"/>
        <v>0</v>
      </c>
    </row>
    <row r="19" spans="2:8" ht="16.05" customHeight="1" thickBot="1" x14ac:dyDescent="0.35">
      <c r="B19" s="145"/>
      <c r="C19" s="81" t="s">
        <v>36</v>
      </c>
      <c r="D19" s="9" t="s">
        <v>67</v>
      </c>
      <c r="E19" s="6"/>
      <c r="F19" s="6"/>
      <c r="G19" s="6"/>
      <c r="H19" s="6">
        <f t="shared" si="0"/>
        <v>0</v>
      </c>
    </row>
    <row r="20" spans="2:8" ht="16.05" customHeight="1" thickBot="1" x14ac:dyDescent="0.35">
      <c r="B20" s="145"/>
      <c r="C20" s="81" t="s">
        <v>36</v>
      </c>
      <c r="D20" s="9" t="s">
        <v>77</v>
      </c>
      <c r="E20" s="6"/>
      <c r="F20" s="6"/>
      <c r="G20" s="6"/>
      <c r="H20" s="6">
        <f t="shared" si="0"/>
        <v>0</v>
      </c>
    </row>
    <row r="21" spans="2:8" ht="16.05" customHeight="1" thickBot="1" x14ac:dyDescent="0.35">
      <c r="B21" s="145"/>
      <c r="C21" s="81" t="s">
        <v>36</v>
      </c>
      <c r="D21" s="9" t="s">
        <v>78</v>
      </c>
      <c r="E21" s="6"/>
      <c r="F21" s="6"/>
      <c r="G21" s="6"/>
      <c r="H21" s="6">
        <f t="shared" si="0"/>
        <v>0</v>
      </c>
    </row>
    <row r="22" spans="2:8" ht="16.05" customHeight="1" thickBot="1" x14ac:dyDescent="0.35">
      <c r="B22" s="145"/>
      <c r="C22" s="81" t="s">
        <v>36</v>
      </c>
      <c r="D22" s="9" t="s">
        <v>79</v>
      </c>
      <c r="E22" s="6"/>
      <c r="F22" s="6"/>
      <c r="G22" s="6"/>
      <c r="H22" s="6">
        <f t="shared" si="0"/>
        <v>0</v>
      </c>
    </row>
    <row r="23" spans="2:8" ht="15.6" x14ac:dyDescent="0.3">
      <c r="G23" s="5" t="s">
        <v>62</v>
      </c>
      <c r="H23" s="6">
        <f>SUM(H12:H22)</f>
        <v>0</v>
      </c>
    </row>
    <row r="25" spans="2:8" ht="15" thickBot="1" x14ac:dyDescent="0.35"/>
    <row r="26" spans="2:8" ht="15.6" x14ac:dyDescent="0.3">
      <c r="G26" s="5" t="s">
        <v>6</v>
      </c>
      <c r="H26" s="6">
        <f>H10+H23</f>
        <v>0</v>
      </c>
    </row>
  </sheetData>
  <mergeCells count="2">
    <mergeCell ref="B6:B9"/>
    <mergeCell ref="B12:B22"/>
  </mergeCells>
  <conditionalFormatting sqref="H26 H5:H9 H12:H21">
    <cfRule type="cellIs" dxfId="15" priority="35" operator="lessThan">
      <formula>0</formula>
    </cfRule>
    <cfRule type="cellIs" dxfId="14" priority="36" operator="greaterThan">
      <formula>0</formula>
    </cfRule>
  </conditionalFormatting>
  <conditionalFormatting sqref="E5:E9 E12:E22">
    <cfRule type="cellIs" dxfId="13" priority="31" operator="lessThan">
      <formula>0</formula>
    </cfRule>
    <cfRule type="cellIs" dxfId="12" priority="32" operator="greaterThanOrEqual">
      <formula>0</formula>
    </cfRule>
  </conditionalFormatting>
  <conditionalFormatting sqref="G15:G22 F5:G9 F12:G14">
    <cfRule type="cellIs" dxfId="11" priority="29" operator="greaterThanOrEqual">
      <formula>0</formula>
    </cfRule>
    <cfRule type="cellIs" dxfId="10" priority="30" operator="lessThanOrEqual">
      <formula>0</formula>
    </cfRule>
  </conditionalFormatting>
  <conditionalFormatting sqref="F15:F22">
    <cfRule type="cellIs" dxfId="9" priority="5" operator="greaterThanOrEqual">
      <formula>0</formula>
    </cfRule>
    <cfRule type="cellIs" dxfId="8" priority="6" operator="lessThanOrEqual">
      <formula>0</formula>
    </cfRule>
  </conditionalFormatting>
  <conditionalFormatting sqref="H10">
    <cfRule type="cellIs" dxfId="7" priority="3" operator="lessThan">
      <formula>0</formula>
    </cfRule>
    <cfRule type="cellIs" dxfId="6" priority="4" operator="greaterThanOrEqual">
      <formula>0</formula>
    </cfRule>
  </conditionalFormatting>
  <conditionalFormatting sqref="H22:H23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9"/>
  <sheetViews>
    <sheetView zoomScale="95" zoomScaleNormal="95" workbookViewId="0">
      <selection activeCell="H1" sqref="H1"/>
    </sheetView>
  </sheetViews>
  <sheetFormatPr baseColWidth="10" defaultRowHeight="14.4" x14ac:dyDescent="0.3"/>
  <cols>
    <col min="2" max="2" width="30.5546875" bestFit="1" customWidth="1"/>
    <col min="3" max="14" width="13" customWidth="1"/>
    <col min="15" max="15" width="3.77734375" customWidth="1"/>
    <col min="16" max="16" width="14.109375" bestFit="1" customWidth="1"/>
  </cols>
  <sheetData>
    <row r="3" spans="2:16" x14ac:dyDescent="0.3">
      <c r="B3" s="36"/>
    </row>
    <row r="5" spans="2:16" x14ac:dyDescent="0.3">
      <c r="B5" s="26" t="s">
        <v>41</v>
      </c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7" t="s">
        <v>12</v>
      </c>
      <c r="I5" s="27" t="s">
        <v>13</v>
      </c>
      <c r="J5" s="27" t="s">
        <v>37</v>
      </c>
      <c r="K5" s="27" t="s">
        <v>15</v>
      </c>
      <c r="L5" s="27" t="s">
        <v>16</v>
      </c>
      <c r="M5" s="27" t="s">
        <v>38</v>
      </c>
      <c r="N5" s="27" t="s">
        <v>18</v>
      </c>
      <c r="P5" s="27" t="s">
        <v>45</v>
      </c>
    </row>
    <row r="6" spans="2:16" x14ac:dyDescent="0.3">
      <c r="B6" s="34" t="s">
        <v>57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  <c r="P6" s="37">
        <f>SUM(C6:N6)</f>
        <v>0</v>
      </c>
    </row>
    <row r="7" spans="2:16" x14ac:dyDescent="0.3">
      <c r="B7" s="34" t="s">
        <v>60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9"/>
      <c r="P7" s="37">
        <f>SUM(C7:N7)</f>
        <v>0</v>
      </c>
    </row>
    <row r="8" spans="2:16" x14ac:dyDescent="0.3">
      <c r="B8" s="28" t="s">
        <v>40</v>
      </c>
      <c r="C8" s="37">
        <f>4832.148/3</f>
        <v>1610.7160000000001</v>
      </c>
      <c r="D8" s="37">
        <f t="shared" ref="D8:E8" si="0">4832.148/3</f>
        <v>1610.7160000000001</v>
      </c>
      <c r="E8" s="37">
        <f t="shared" si="0"/>
        <v>1610.7160000000001</v>
      </c>
      <c r="F8" s="37"/>
      <c r="G8" s="37"/>
      <c r="H8" s="37"/>
      <c r="I8" s="37"/>
      <c r="J8" s="37"/>
      <c r="K8" s="37"/>
      <c r="L8" s="37"/>
      <c r="M8" s="37"/>
      <c r="N8" s="37"/>
      <c r="O8" s="39"/>
      <c r="P8" s="37">
        <f t="shared" ref="P8:P31" si="1">SUM(C8:N8)</f>
        <v>4832.1480000000001</v>
      </c>
    </row>
    <row r="9" spans="2:16" x14ac:dyDescent="0.3">
      <c r="B9" s="28" t="s">
        <v>131</v>
      </c>
      <c r="C9" s="37"/>
      <c r="D9" s="37"/>
      <c r="E9" s="37">
        <v>14774.013999999999</v>
      </c>
      <c r="F9" s="37"/>
      <c r="G9" s="37"/>
      <c r="H9" s="37"/>
      <c r="I9" s="37"/>
      <c r="J9" s="37"/>
      <c r="K9" s="37"/>
      <c r="L9" s="37"/>
      <c r="M9" s="37"/>
      <c r="N9" s="37"/>
      <c r="O9" s="39"/>
      <c r="P9" s="37"/>
    </row>
    <row r="10" spans="2:16" x14ac:dyDescent="0.3">
      <c r="B10" s="28" t="s">
        <v>39</v>
      </c>
      <c r="C10" s="37">
        <v>1552.165</v>
      </c>
      <c r="D10" s="37">
        <v>1635.1890000000001</v>
      </c>
      <c r="E10" s="37">
        <v>2160.4409999999998</v>
      </c>
      <c r="F10" s="37">
        <v>2234.0210000000002</v>
      </c>
      <c r="G10" s="37">
        <v>2053.8249999999998</v>
      </c>
      <c r="H10" s="37"/>
      <c r="I10" s="37"/>
      <c r="J10" s="37"/>
      <c r="K10" s="37"/>
      <c r="L10" s="37"/>
      <c r="M10" s="37"/>
      <c r="N10" s="37"/>
      <c r="O10" s="39"/>
      <c r="P10" s="37">
        <f t="shared" si="1"/>
        <v>9635.6409999999996</v>
      </c>
    </row>
    <row r="11" spans="2:16" x14ac:dyDescent="0.3">
      <c r="B11" s="28" t="s">
        <v>74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9"/>
      <c r="P11" s="37"/>
    </row>
    <row r="12" spans="2:16" x14ac:dyDescent="0.3">
      <c r="B12" s="28" t="s">
        <v>76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9"/>
      <c r="P12" s="37">
        <f t="shared" si="1"/>
        <v>0</v>
      </c>
    </row>
    <row r="13" spans="2:16" x14ac:dyDescent="0.3">
      <c r="B13" s="28" t="s">
        <v>46</v>
      </c>
      <c r="C13" s="37"/>
      <c r="D13" s="37">
        <v>103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9"/>
      <c r="P13" s="37">
        <f t="shared" si="1"/>
        <v>103</v>
      </c>
    </row>
    <row r="14" spans="2:16" x14ac:dyDescent="0.3">
      <c r="B14" s="28" t="s">
        <v>47</v>
      </c>
      <c r="C14" s="37"/>
      <c r="D14" s="37"/>
      <c r="E14" s="37"/>
      <c r="F14" s="37"/>
      <c r="G14">
        <v>3547.7289999999998</v>
      </c>
      <c r="H14" s="37"/>
      <c r="I14" s="37"/>
      <c r="J14" s="37"/>
      <c r="K14" s="37"/>
      <c r="L14" s="37"/>
      <c r="M14" s="37"/>
      <c r="N14" s="37"/>
      <c r="O14" s="39"/>
      <c r="P14" s="37">
        <f t="shared" si="1"/>
        <v>3547.7289999999998</v>
      </c>
    </row>
    <row r="15" spans="2:16" x14ac:dyDescent="0.3">
      <c r="B15" s="28" t="s">
        <v>49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9"/>
      <c r="P15" s="37">
        <f t="shared" si="1"/>
        <v>0</v>
      </c>
    </row>
    <row r="16" spans="2:16" x14ac:dyDescent="0.3">
      <c r="B16" s="28" t="s">
        <v>48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9"/>
      <c r="P16" s="37">
        <f t="shared" si="1"/>
        <v>0</v>
      </c>
    </row>
    <row r="17" spans="2:16" x14ac:dyDescent="0.3">
      <c r="B17" s="28" t="s">
        <v>143</v>
      </c>
      <c r="C17" s="37"/>
      <c r="D17" s="37"/>
      <c r="E17" s="37"/>
      <c r="F17" s="37">
        <v>132</v>
      </c>
      <c r="G17" s="37"/>
      <c r="H17" s="37"/>
      <c r="I17" s="37"/>
      <c r="J17" s="37"/>
      <c r="K17" s="37"/>
      <c r="L17" s="37"/>
      <c r="M17" s="37"/>
      <c r="N17" s="37"/>
      <c r="O17" s="39"/>
      <c r="P17" s="37"/>
    </row>
    <row r="18" spans="2:16" x14ac:dyDescent="0.3">
      <c r="B18" s="28" t="s">
        <v>42</v>
      </c>
      <c r="C18" s="37"/>
      <c r="D18" s="37">
        <v>45.8</v>
      </c>
      <c r="E18" s="37"/>
      <c r="F18" s="37"/>
      <c r="G18" s="37">
        <v>42.7</v>
      </c>
      <c r="H18" s="37"/>
      <c r="I18" s="37"/>
      <c r="J18" s="37"/>
      <c r="K18" s="37"/>
      <c r="L18" s="37"/>
      <c r="M18" s="37"/>
      <c r="N18" s="37"/>
      <c r="O18" s="39"/>
      <c r="P18" s="37">
        <f t="shared" si="1"/>
        <v>88.5</v>
      </c>
    </row>
    <row r="19" spans="2:16" x14ac:dyDescent="0.3">
      <c r="B19" s="28" t="s">
        <v>43</v>
      </c>
      <c r="C19" s="37">
        <v>416</v>
      </c>
      <c r="D19" s="37">
        <v>416</v>
      </c>
      <c r="E19" s="37">
        <v>416</v>
      </c>
      <c r="F19" s="37">
        <v>416</v>
      </c>
      <c r="G19" s="37">
        <v>416</v>
      </c>
      <c r="H19" s="37">
        <v>416</v>
      </c>
      <c r="I19" s="37"/>
      <c r="J19" s="37"/>
      <c r="K19" s="37"/>
      <c r="L19" s="37"/>
      <c r="M19" s="37"/>
      <c r="N19" s="37"/>
      <c r="O19" s="39"/>
      <c r="P19" s="37">
        <f t="shared" si="1"/>
        <v>2496</v>
      </c>
    </row>
    <row r="20" spans="2:16" x14ac:dyDescent="0.3">
      <c r="B20" s="28" t="s">
        <v>139</v>
      </c>
      <c r="C20" s="37"/>
      <c r="D20" s="37"/>
      <c r="E20" s="37"/>
      <c r="F20" s="37">
        <v>34.537999999999997</v>
      </c>
      <c r="G20" s="37"/>
      <c r="H20" s="37"/>
      <c r="I20" s="37"/>
      <c r="J20" s="37"/>
      <c r="K20" s="37"/>
      <c r="L20" s="37"/>
      <c r="M20" s="37"/>
      <c r="N20" s="37"/>
      <c r="O20" s="39"/>
      <c r="P20" s="37"/>
    </row>
    <row r="21" spans="2:16" x14ac:dyDescent="0.3">
      <c r="B21" s="28" t="s">
        <v>140</v>
      </c>
      <c r="C21" s="37"/>
      <c r="D21" s="37"/>
      <c r="E21" s="37"/>
      <c r="F21" s="37">
        <v>222.2</v>
      </c>
      <c r="G21" s="37"/>
      <c r="H21" s="37"/>
      <c r="I21" s="37"/>
      <c r="J21" s="37"/>
      <c r="K21" s="37"/>
      <c r="L21" s="37"/>
      <c r="M21" s="37"/>
      <c r="N21" s="37"/>
      <c r="O21" s="39"/>
      <c r="P21" s="37"/>
    </row>
    <row r="22" spans="2:16" x14ac:dyDescent="0.3">
      <c r="B22" s="28" t="s">
        <v>151</v>
      </c>
      <c r="C22" s="37"/>
      <c r="D22" s="37"/>
      <c r="E22" s="37"/>
      <c r="F22" s="37"/>
      <c r="G22" s="37">
        <v>222.2</v>
      </c>
      <c r="H22" s="37"/>
      <c r="I22" s="37"/>
      <c r="J22" s="37"/>
      <c r="K22" s="37"/>
      <c r="L22" s="37"/>
      <c r="M22" s="37"/>
      <c r="N22" s="37"/>
      <c r="O22" s="39"/>
      <c r="P22" s="37"/>
    </row>
    <row r="23" spans="2:16" x14ac:dyDescent="0.3">
      <c r="B23" s="28" t="s">
        <v>44</v>
      </c>
      <c r="C23" s="37"/>
      <c r="D23" s="37">
        <v>2088</v>
      </c>
      <c r="E23" s="37"/>
      <c r="F23" s="37"/>
      <c r="G23" s="37">
        <v>1713</v>
      </c>
      <c r="H23" s="37"/>
      <c r="I23" s="37"/>
      <c r="J23" s="37"/>
      <c r="K23" s="37"/>
      <c r="L23" s="37"/>
      <c r="M23" s="37"/>
      <c r="N23" s="37"/>
      <c r="O23" s="39"/>
      <c r="P23" s="37">
        <f t="shared" si="1"/>
        <v>3801</v>
      </c>
    </row>
    <row r="24" spans="2:16" x14ac:dyDescent="0.3">
      <c r="B24" s="28" t="s">
        <v>142</v>
      </c>
      <c r="C24" s="37"/>
      <c r="D24" s="37"/>
      <c r="E24" s="37"/>
      <c r="F24" s="37">
        <v>380.50400000000002</v>
      </c>
      <c r="G24" s="37"/>
      <c r="H24" s="37"/>
      <c r="I24" s="37"/>
      <c r="J24" s="37"/>
      <c r="K24" s="37"/>
      <c r="L24" s="37"/>
      <c r="M24" s="37"/>
      <c r="N24" s="37"/>
      <c r="O24" s="39"/>
      <c r="P24" s="37"/>
    </row>
    <row r="25" spans="2:16" x14ac:dyDescent="0.3">
      <c r="B25" s="28" t="s">
        <v>50</v>
      </c>
      <c r="C25" s="37"/>
      <c r="D25" s="37"/>
      <c r="E25" s="37"/>
      <c r="F25" s="37">
        <v>118.64400000000001</v>
      </c>
      <c r="G25" s="37"/>
      <c r="H25" s="37"/>
      <c r="I25" s="37"/>
      <c r="J25" s="37"/>
      <c r="K25" s="37"/>
      <c r="L25" s="37"/>
      <c r="M25" s="37"/>
      <c r="N25" s="37"/>
      <c r="O25" s="39"/>
      <c r="P25" s="37">
        <f t="shared" si="1"/>
        <v>118.64400000000001</v>
      </c>
    </row>
    <row r="26" spans="2:16" x14ac:dyDescent="0.3">
      <c r="B26" s="28" t="s">
        <v>120</v>
      </c>
      <c r="C26" s="37"/>
      <c r="D26" s="37">
        <v>72.756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9"/>
      <c r="P26" s="37"/>
    </row>
    <row r="27" spans="2:16" x14ac:dyDescent="0.3">
      <c r="B27" s="28" t="s">
        <v>147</v>
      </c>
      <c r="C27" s="37"/>
      <c r="D27" s="37"/>
      <c r="E27" s="37"/>
      <c r="F27" s="37">
        <v>170</v>
      </c>
      <c r="G27" s="37"/>
      <c r="H27" s="37"/>
      <c r="I27" s="37"/>
      <c r="J27" s="37"/>
      <c r="K27" s="37"/>
      <c r="L27" s="37"/>
      <c r="M27" s="37"/>
      <c r="N27" s="37"/>
      <c r="O27" s="39"/>
      <c r="P27" s="37"/>
    </row>
    <row r="28" spans="2:16" x14ac:dyDescent="0.3">
      <c r="B28" s="28" t="s">
        <v>141</v>
      </c>
      <c r="C28" s="37"/>
      <c r="D28" s="37"/>
      <c r="E28" s="37"/>
      <c r="F28" s="37">
        <v>46.69</v>
      </c>
      <c r="G28" s="37"/>
      <c r="H28" s="37"/>
      <c r="I28" s="37"/>
      <c r="J28" s="37"/>
      <c r="K28" s="37"/>
      <c r="L28" s="37"/>
      <c r="M28" s="37"/>
      <c r="N28" s="37"/>
      <c r="O28" s="39"/>
      <c r="P28" s="37"/>
    </row>
    <row r="29" spans="2:16" x14ac:dyDescent="0.3">
      <c r="B29" s="28" t="s">
        <v>80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9"/>
      <c r="P29" s="37">
        <f t="shared" si="1"/>
        <v>0</v>
      </c>
    </row>
    <row r="30" spans="2:16" x14ac:dyDescent="0.3">
      <c r="B30" s="28" t="s">
        <v>51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9"/>
      <c r="P30" s="37">
        <f t="shared" si="1"/>
        <v>0</v>
      </c>
    </row>
    <row r="31" spans="2:16" x14ac:dyDescent="0.3">
      <c r="B31" s="28" t="s">
        <v>112</v>
      </c>
      <c r="C31" s="37">
        <v>2000</v>
      </c>
      <c r="D31" s="37">
        <v>2000</v>
      </c>
      <c r="E31" s="37">
        <v>2200</v>
      </c>
      <c r="F31" s="37">
        <v>2000</v>
      </c>
      <c r="G31" s="37">
        <v>2250</v>
      </c>
      <c r="H31" s="37">
        <v>2000</v>
      </c>
      <c r="I31" s="37"/>
      <c r="J31" s="37"/>
      <c r="K31" s="37"/>
      <c r="L31" s="37"/>
      <c r="M31" s="37"/>
      <c r="N31" s="37"/>
      <c r="O31" s="39"/>
      <c r="P31" s="37">
        <f t="shared" si="1"/>
        <v>12450</v>
      </c>
    </row>
    <row r="32" spans="2:16" x14ac:dyDescent="0.3">
      <c r="B32" s="28" t="s">
        <v>132</v>
      </c>
      <c r="C32" s="37"/>
      <c r="D32" s="37"/>
      <c r="E32" s="37">
        <v>1600</v>
      </c>
      <c r="F32" s="37">
        <v>1600</v>
      </c>
      <c r="G32" s="37">
        <v>1850</v>
      </c>
      <c r="H32" s="37">
        <v>1600</v>
      </c>
      <c r="I32" s="37"/>
      <c r="J32" s="37"/>
      <c r="K32" s="37"/>
      <c r="L32" s="37"/>
      <c r="M32" s="37"/>
      <c r="N32" s="37"/>
      <c r="O32" s="39"/>
      <c r="P32" s="37"/>
    </row>
    <row r="33" spans="2:16" x14ac:dyDescent="0.3">
      <c r="B33" s="28" t="s">
        <v>133</v>
      </c>
      <c r="C33" s="37"/>
      <c r="D33" s="37"/>
      <c r="E33" s="37">
        <v>1750</v>
      </c>
      <c r="F33" s="37">
        <v>1118.2670000000001</v>
      </c>
      <c r="G33" s="37">
        <v>1773</v>
      </c>
      <c r="H33" s="37">
        <v>1750</v>
      </c>
      <c r="I33" s="37"/>
      <c r="J33" s="37"/>
      <c r="K33" s="37"/>
      <c r="L33" s="37"/>
      <c r="M33" s="37"/>
      <c r="N33" s="37"/>
      <c r="O33" s="39"/>
      <c r="P33" s="37"/>
    </row>
    <row r="34" spans="2:16" x14ac:dyDescent="0.3">
      <c r="B34" s="28" t="s">
        <v>148</v>
      </c>
      <c r="C34" s="37"/>
      <c r="D34" s="37"/>
      <c r="E34" s="37"/>
      <c r="F34" s="37"/>
      <c r="G34" s="37">
        <v>1750</v>
      </c>
      <c r="H34" s="37">
        <v>1600</v>
      </c>
      <c r="I34" s="37"/>
      <c r="J34" s="37"/>
      <c r="K34" s="37"/>
      <c r="L34" s="37"/>
      <c r="M34" s="37"/>
      <c r="N34" s="37"/>
      <c r="O34" s="39"/>
      <c r="P34" s="37"/>
    </row>
    <row r="35" spans="2:16" x14ac:dyDescent="0.3">
      <c r="B35" s="28" t="s">
        <v>149</v>
      </c>
      <c r="C35" s="37"/>
      <c r="D35" s="37"/>
      <c r="E35" s="37"/>
      <c r="F35" s="37"/>
      <c r="G35" s="37">
        <v>1950</v>
      </c>
      <c r="H35" s="37">
        <v>1800</v>
      </c>
      <c r="I35" s="37"/>
      <c r="J35" s="37"/>
      <c r="K35" s="37"/>
      <c r="L35" s="37"/>
      <c r="M35" s="37"/>
      <c r="N35" s="37"/>
      <c r="O35" s="39"/>
      <c r="P35" s="37"/>
    </row>
    <row r="36" spans="2:16" x14ac:dyDescent="0.3">
      <c r="B36" s="28" t="s">
        <v>150</v>
      </c>
      <c r="C36" s="37"/>
      <c r="D36" s="37"/>
      <c r="E36" s="37"/>
      <c r="F36" s="37"/>
      <c r="G36" s="37">
        <v>1016</v>
      </c>
      <c r="H36" s="37">
        <v>1500</v>
      </c>
      <c r="I36" s="37"/>
      <c r="J36" s="37"/>
      <c r="K36" s="37"/>
      <c r="L36" s="37"/>
      <c r="M36" s="37"/>
      <c r="N36" s="37"/>
      <c r="O36" s="39"/>
      <c r="P36" s="37"/>
    </row>
    <row r="37" spans="2:16" x14ac:dyDescent="0.3">
      <c r="B37" s="42" t="s">
        <v>55</v>
      </c>
      <c r="C37" s="43">
        <f>SUM(C6:C36)</f>
        <v>5578.8810000000003</v>
      </c>
      <c r="D37" s="43">
        <f t="shared" ref="D37:N37" si="2">SUM(D6:D36)</f>
        <v>7971.4610000000002</v>
      </c>
      <c r="E37" s="43">
        <f t="shared" si="2"/>
        <v>24511.170999999998</v>
      </c>
      <c r="F37" s="43">
        <f t="shared" si="2"/>
        <v>8472.8639999999996</v>
      </c>
      <c r="G37" s="43">
        <f>SUM(G6:G36)</f>
        <v>18584.453999999998</v>
      </c>
      <c r="H37" s="43">
        <f>SUM(H6:H36)</f>
        <v>10666</v>
      </c>
      <c r="I37" s="43">
        <f t="shared" si="2"/>
        <v>0</v>
      </c>
      <c r="J37" s="43">
        <f t="shared" si="2"/>
        <v>0</v>
      </c>
      <c r="K37" s="43">
        <f t="shared" si="2"/>
        <v>0</v>
      </c>
      <c r="L37" s="43">
        <f t="shared" si="2"/>
        <v>0</v>
      </c>
      <c r="M37" s="43">
        <f t="shared" si="2"/>
        <v>0</v>
      </c>
      <c r="N37" s="43">
        <f t="shared" si="2"/>
        <v>0</v>
      </c>
      <c r="O37" s="39"/>
      <c r="P37" s="43">
        <f>SUM(C37:N37)</f>
        <v>75784.831000000006</v>
      </c>
    </row>
    <row r="38" spans="2:16" x14ac:dyDescent="0.3"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2:16" x14ac:dyDescent="0.3"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2:16" x14ac:dyDescent="0.3">
      <c r="B40" s="29" t="s">
        <v>52</v>
      </c>
      <c r="C40" s="40" t="s">
        <v>7</v>
      </c>
      <c r="D40" s="40" t="s">
        <v>8</v>
      </c>
      <c r="E40" s="40" t="s">
        <v>9</v>
      </c>
      <c r="F40" s="40" t="s">
        <v>10</v>
      </c>
      <c r="G40" s="40" t="s">
        <v>11</v>
      </c>
      <c r="H40" s="40" t="s">
        <v>12</v>
      </c>
      <c r="I40" s="40" t="s">
        <v>13</v>
      </c>
      <c r="J40" s="40" t="s">
        <v>37</v>
      </c>
      <c r="K40" s="40" t="s">
        <v>15</v>
      </c>
      <c r="L40" s="40" t="s">
        <v>16</v>
      </c>
      <c r="M40" s="40" t="s">
        <v>38</v>
      </c>
      <c r="N40" s="40" t="s">
        <v>18</v>
      </c>
      <c r="O40" s="39"/>
      <c r="P40" s="40" t="s">
        <v>45</v>
      </c>
    </row>
    <row r="41" spans="2:16" x14ac:dyDescent="0.3">
      <c r="B41" s="28" t="s">
        <v>40</v>
      </c>
      <c r="C41" s="37">
        <f>2213.487/3</f>
        <v>737.82900000000006</v>
      </c>
      <c r="D41" s="37">
        <f t="shared" ref="D41:E41" si="3">2213.487/3</f>
        <v>737.82900000000006</v>
      </c>
      <c r="E41" s="37">
        <f t="shared" si="3"/>
        <v>737.82900000000006</v>
      </c>
      <c r="F41" s="37"/>
      <c r="G41" s="37"/>
      <c r="H41" s="37"/>
      <c r="I41" s="37"/>
      <c r="J41" s="37"/>
      <c r="K41" s="37"/>
      <c r="L41" s="37"/>
      <c r="M41" s="37"/>
      <c r="N41" s="37"/>
      <c r="O41" s="39"/>
      <c r="P41" s="37">
        <f t="shared" ref="P41:P47" si="4">SUM(C41:N41)</f>
        <v>2213.4870000000001</v>
      </c>
    </row>
    <row r="42" spans="2:16" x14ac:dyDescent="0.3">
      <c r="B42" s="28" t="s">
        <v>131</v>
      </c>
      <c r="C42" s="37"/>
      <c r="D42" s="37"/>
      <c r="E42" s="37">
        <v>400</v>
      </c>
      <c r="F42" s="37"/>
      <c r="G42" s="37"/>
      <c r="H42" s="37"/>
      <c r="I42" s="37"/>
      <c r="J42" s="37"/>
      <c r="K42" s="37"/>
      <c r="L42" s="37"/>
      <c r="M42" s="37"/>
      <c r="N42" s="37"/>
      <c r="O42" s="39"/>
      <c r="P42" s="37"/>
    </row>
    <row r="43" spans="2:16" x14ac:dyDescent="0.3">
      <c r="B43" s="28" t="s">
        <v>39</v>
      </c>
      <c r="C43" s="37">
        <v>1254.5419999999999</v>
      </c>
      <c r="D43" s="37">
        <v>3388.1849999999999</v>
      </c>
      <c r="E43" s="37">
        <v>6807.5360000000001</v>
      </c>
      <c r="F43" s="37">
        <v>45670.341999999997</v>
      </c>
      <c r="G43" s="37">
        <v>24044.205999999998</v>
      </c>
      <c r="H43" s="37"/>
      <c r="I43" s="37"/>
      <c r="J43" s="37"/>
      <c r="K43" s="37"/>
      <c r="L43" s="37"/>
      <c r="M43" s="37"/>
      <c r="N43" s="37"/>
      <c r="O43" s="39"/>
      <c r="P43" s="37">
        <f t="shared" si="4"/>
        <v>81164.810999999987</v>
      </c>
    </row>
    <row r="44" spans="2:16" x14ac:dyDescent="0.3">
      <c r="B44" s="28" t="s">
        <v>74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9"/>
      <c r="P44" s="37">
        <f t="shared" si="4"/>
        <v>0</v>
      </c>
    </row>
    <row r="45" spans="2:16" x14ac:dyDescent="0.3">
      <c r="B45" s="28" t="s">
        <v>53</v>
      </c>
      <c r="C45" s="37"/>
      <c r="D45" s="37"/>
      <c r="E45" s="37"/>
      <c r="F45" s="37"/>
      <c r="G45" s="37">
        <v>431.15699999999998</v>
      </c>
      <c r="H45" s="37">
        <v>181.75</v>
      </c>
      <c r="I45" s="37"/>
      <c r="J45" s="37"/>
      <c r="K45" s="37"/>
      <c r="L45" s="37"/>
      <c r="M45" s="37"/>
      <c r="N45" s="37"/>
      <c r="O45" s="39"/>
      <c r="P45" s="37">
        <f t="shared" si="4"/>
        <v>612.90699999999993</v>
      </c>
    </row>
    <row r="46" spans="2:16" x14ac:dyDescent="0.3">
      <c r="B46" s="28" t="s">
        <v>54</v>
      </c>
      <c r="C46" s="37">
        <v>700</v>
      </c>
      <c r="D46" s="37">
        <v>700</v>
      </c>
      <c r="E46" s="37">
        <f>750+200</f>
        <v>950</v>
      </c>
      <c r="F46" s="37">
        <v>750</v>
      </c>
      <c r="G46" s="37">
        <v>1200</v>
      </c>
      <c r="H46" s="37">
        <v>1000</v>
      </c>
      <c r="I46" s="37"/>
      <c r="J46" s="37"/>
      <c r="K46" s="37"/>
      <c r="L46" s="37"/>
      <c r="M46" s="37"/>
      <c r="N46" s="37"/>
      <c r="O46" s="39"/>
      <c r="P46" s="37">
        <f t="shared" si="4"/>
        <v>5300</v>
      </c>
    </row>
    <row r="47" spans="2:16" x14ac:dyDescent="0.3">
      <c r="B47" s="29" t="s">
        <v>56</v>
      </c>
      <c r="C47" s="44">
        <f>SUM(C41:C46)</f>
        <v>2692.3710000000001</v>
      </c>
      <c r="D47" s="44">
        <f t="shared" ref="D47:N47" si="5">SUM(D41:D46)</f>
        <v>4826.0140000000001</v>
      </c>
      <c r="E47" s="44">
        <f t="shared" si="5"/>
        <v>8895.3649999999998</v>
      </c>
      <c r="F47" s="44">
        <f t="shared" si="5"/>
        <v>46420.341999999997</v>
      </c>
      <c r="G47" s="44">
        <f t="shared" si="5"/>
        <v>25675.362999999998</v>
      </c>
      <c r="H47" s="44">
        <f t="shared" si="5"/>
        <v>1181.75</v>
      </c>
      <c r="I47" s="44">
        <f t="shared" si="5"/>
        <v>0</v>
      </c>
      <c r="J47" s="44">
        <f t="shared" si="5"/>
        <v>0</v>
      </c>
      <c r="K47" s="44">
        <f t="shared" si="5"/>
        <v>0</v>
      </c>
      <c r="L47" s="44">
        <f t="shared" si="5"/>
        <v>0</v>
      </c>
      <c r="M47" s="44">
        <f t="shared" si="5"/>
        <v>0</v>
      </c>
      <c r="N47" s="44">
        <f t="shared" si="5"/>
        <v>0</v>
      </c>
      <c r="O47" s="39"/>
      <c r="P47" s="44">
        <f t="shared" si="4"/>
        <v>89691.204999999987</v>
      </c>
    </row>
    <row r="48" spans="2:16" x14ac:dyDescent="0.3"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 x14ac:dyDescent="0.3">
      <c r="B49" s="35" t="s">
        <v>58</v>
      </c>
      <c r="C49" s="41">
        <f t="shared" ref="C49:N49" si="6">C37+C47</f>
        <v>8271.2520000000004</v>
      </c>
      <c r="D49" s="41">
        <f t="shared" si="6"/>
        <v>12797.475</v>
      </c>
      <c r="E49" s="41">
        <f t="shared" si="6"/>
        <v>33406.536</v>
      </c>
      <c r="F49" s="41">
        <f t="shared" si="6"/>
        <v>54893.205999999998</v>
      </c>
      <c r="G49" s="41">
        <f t="shared" si="6"/>
        <v>44259.816999999995</v>
      </c>
      <c r="H49" s="41">
        <f t="shared" si="6"/>
        <v>11847.75</v>
      </c>
      <c r="I49" s="41">
        <f t="shared" si="6"/>
        <v>0</v>
      </c>
      <c r="J49" s="41">
        <f t="shared" si="6"/>
        <v>0</v>
      </c>
      <c r="K49" s="41">
        <f t="shared" si="6"/>
        <v>0</v>
      </c>
      <c r="L49" s="41">
        <f t="shared" si="6"/>
        <v>0</v>
      </c>
      <c r="M49" s="41">
        <f t="shared" si="6"/>
        <v>0</v>
      </c>
      <c r="N49" s="41">
        <f t="shared" si="6"/>
        <v>0</v>
      </c>
      <c r="O49" s="39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topLeftCell="A2" zoomScaleNormal="100" workbookViewId="0">
      <selection activeCell="H19" sqref="H19"/>
    </sheetView>
  </sheetViews>
  <sheetFormatPr baseColWidth="10" defaultRowHeight="14.4" x14ac:dyDescent="0.3"/>
  <cols>
    <col min="1" max="1" width="3.77734375" customWidth="1"/>
    <col min="2" max="2" width="51.6640625" bestFit="1" customWidth="1"/>
    <col min="3" max="4" width="12.44140625" bestFit="1" customWidth="1"/>
    <col min="5" max="5" width="13.44140625" bestFit="1" customWidth="1"/>
    <col min="6" max="6" width="17" bestFit="1" customWidth="1"/>
    <col min="7" max="8" width="13.44140625" bestFit="1" customWidth="1"/>
    <col min="9" max="11" width="12.44140625" bestFit="1" customWidth="1"/>
    <col min="12" max="12" width="14.88671875" bestFit="1" customWidth="1"/>
    <col min="13" max="14" width="12.44140625" bestFit="1" customWidth="1"/>
    <col min="15" max="15" width="13.44140625" bestFit="1" customWidth="1"/>
  </cols>
  <sheetData>
    <row r="2" spans="2:15" ht="15.6" x14ac:dyDescent="0.3">
      <c r="B2" s="74" t="s">
        <v>113</v>
      </c>
    </row>
    <row r="3" spans="2:15" ht="15.6" x14ac:dyDescent="0.3">
      <c r="B3" s="74" t="s">
        <v>114</v>
      </c>
    </row>
    <row r="5" spans="2:15" ht="15" thickBot="1" x14ac:dyDescent="0.35"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</row>
    <row r="6" spans="2:15" ht="16.2" thickBot="1" x14ac:dyDescent="0.35">
      <c r="B6" s="137" t="s">
        <v>135</v>
      </c>
      <c r="C6" s="6">
        <f>Janvier!$E$9</f>
        <v>19000</v>
      </c>
      <c r="D6" s="6">
        <f>Février!$E$11</f>
        <v>26250</v>
      </c>
      <c r="E6" s="6">
        <f>Mars!$E$11</f>
        <v>24080</v>
      </c>
      <c r="F6" s="6">
        <f>Avril!$E$10</f>
        <v>22190</v>
      </c>
      <c r="G6" s="6">
        <f>Mai!$E$9</f>
        <v>20295</v>
      </c>
      <c r="H6" s="6">
        <f>Juin!$E$9</f>
        <v>18120</v>
      </c>
      <c r="I6" s="6"/>
      <c r="J6" s="6"/>
      <c r="K6" s="6"/>
      <c r="L6" s="6"/>
      <c r="M6" s="6"/>
      <c r="N6" s="6"/>
      <c r="O6" s="80">
        <f>SUM(C6:N6)</f>
        <v>129935</v>
      </c>
    </row>
    <row r="7" spans="2:15" ht="15.6" x14ac:dyDescent="0.3">
      <c r="B7" s="137" t="s">
        <v>137</v>
      </c>
      <c r="C7" s="6">
        <f>Janvier!$F$9</f>
        <v>7340</v>
      </c>
      <c r="D7" s="6">
        <f>Février!$F$11</f>
        <v>12070</v>
      </c>
      <c r="E7" s="6">
        <f>Mars!$F$11</f>
        <v>10085</v>
      </c>
      <c r="F7" s="6">
        <f>Avril!$F$10</f>
        <v>7700</v>
      </c>
      <c r="G7" s="6">
        <f>Mai!$F$9</f>
        <v>6060</v>
      </c>
      <c r="H7" s="6">
        <f>Juin!$F$9</f>
        <v>5350</v>
      </c>
      <c r="I7" s="6"/>
      <c r="J7" s="6"/>
      <c r="K7" s="6"/>
      <c r="L7" s="6"/>
      <c r="M7" s="6"/>
      <c r="N7" s="6"/>
      <c r="O7" s="80">
        <f>SUM(C7:N7)</f>
        <v>48605</v>
      </c>
    </row>
    <row r="9" spans="2:15" ht="15" thickBot="1" x14ac:dyDescent="0.35"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  <c r="N9" s="8" t="s">
        <v>18</v>
      </c>
      <c r="O9" s="8" t="s">
        <v>19</v>
      </c>
    </row>
    <row r="10" spans="2:15" ht="16.2" thickBot="1" x14ac:dyDescent="0.35">
      <c r="B10" s="138" t="s">
        <v>136</v>
      </c>
      <c r="C10" s="6">
        <f>Janvier!$E$23</f>
        <v>49925.298507462685</v>
      </c>
      <c r="D10" s="6">
        <f>Février!$E$28</f>
        <v>86020.298507462692</v>
      </c>
      <c r="E10" s="6">
        <f>Mars!$E$31</f>
        <v>105970.29850746269</v>
      </c>
      <c r="F10" s="6">
        <f>Avril!$E$34</f>
        <v>116750.29850746269</v>
      </c>
      <c r="G10" s="6">
        <f>Mai!$E$32</f>
        <v>111735.29850746269</v>
      </c>
      <c r="H10" s="6">
        <f>Juin!$E$33</f>
        <v>108290.29850746269</v>
      </c>
      <c r="I10" s="6"/>
      <c r="J10" s="6"/>
      <c r="K10" s="6"/>
      <c r="L10" s="6"/>
      <c r="M10" s="6"/>
      <c r="N10" s="6"/>
      <c r="O10" s="80">
        <f>SUM(C10:N10)</f>
        <v>578691.79104477621</v>
      </c>
    </row>
    <row r="11" spans="2:15" ht="15.6" x14ac:dyDescent="0.3">
      <c r="B11" s="138" t="s">
        <v>138</v>
      </c>
      <c r="C11" s="6">
        <f>Janvier!$F$23</f>
        <v>29679.402985074626</v>
      </c>
      <c r="D11" s="6">
        <f>Février!$F$28</f>
        <v>29078.656716417911</v>
      </c>
      <c r="E11" s="6">
        <f>Mars!$F$31</f>
        <v>36380.746268656716</v>
      </c>
      <c r="F11" s="6">
        <f>Avril!$F$34</f>
        <v>54185.895522388062</v>
      </c>
      <c r="G11" s="6">
        <f>Mai!$F$32</f>
        <v>52140.895522388062</v>
      </c>
      <c r="H11" s="6">
        <f>Juin!$F$33</f>
        <v>48810.970149253728</v>
      </c>
      <c r="I11" s="6"/>
      <c r="J11" s="6"/>
      <c r="K11" s="6"/>
      <c r="L11" s="6"/>
      <c r="M11" s="6"/>
      <c r="N11" s="6"/>
      <c r="O11" s="80">
        <f>SUM(C11:N11)</f>
        <v>250276.56716417911</v>
      </c>
    </row>
    <row r="13" spans="2:15" ht="15" thickBot="1" x14ac:dyDescent="0.35">
      <c r="C13" s="8" t="s">
        <v>7</v>
      </c>
      <c r="D13" s="8" t="s">
        <v>8</v>
      </c>
      <c r="E13" s="8" t="s">
        <v>9</v>
      </c>
      <c r="F13" s="8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2:15" ht="16.2" thickBot="1" x14ac:dyDescent="0.35">
      <c r="B14" s="82" t="s">
        <v>61</v>
      </c>
      <c r="C14" s="6">
        <f>Janvier!H9</f>
        <v>10299.808955223882</v>
      </c>
      <c r="D14" s="6">
        <f>Février!$H$11</f>
        <v>12819.808955223882</v>
      </c>
      <c r="E14" s="6">
        <f>Mars!$H$11</f>
        <v>12565.070447761194</v>
      </c>
      <c r="F14" s="6">
        <f>Avril!$H$10</f>
        <v>13129.808955223882</v>
      </c>
      <c r="G14" s="6">
        <f>Mai!$H$9</f>
        <v>12805.079402985075</v>
      </c>
      <c r="H14" s="6">
        <f>Juin!$H$9</f>
        <v>11409.808955223882</v>
      </c>
      <c r="I14" s="6">
        <f>Juillet!$H$13</f>
        <v>0</v>
      </c>
      <c r="J14" s="6">
        <f>Aout!$H$12</f>
        <v>0</v>
      </c>
      <c r="K14" s="6">
        <f>Septembre!$H$12</f>
        <v>0</v>
      </c>
      <c r="L14" s="6">
        <f>Ocotbre!$H$10</f>
        <v>0</v>
      </c>
      <c r="M14" s="6">
        <f>Novembre!$H$10</f>
        <v>0</v>
      </c>
      <c r="N14" s="6">
        <f>Décembre!$H$10</f>
        <v>0</v>
      </c>
      <c r="O14" s="80">
        <f>SUM(C14:N14)</f>
        <v>73029.385671641794</v>
      </c>
    </row>
    <row r="15" spans="2:15" ht="15.6" x14ac:dyDescent="0.3">
      <c r="B15" s="82" t="s">
        <v>65</v>
      </c>
      <c r="C15" s="6">
        <f t="shared" ref="C15:N15" si="0">C14-C29</f>
        <v>8634.4713432835833</v>
      </c>
      <c r="D15" s="6">
        <f t="shared" si="0"/>
        <v>10440.268358208956</v>
      </c>
      <c r="E15" s="6">
        <f t="shared" si="0"/>
        <v>5248.3029850746279</v>
      </c>
      <c r="F15" s="6">
        <f>F14-F29</f>
        <v>10600.595820895524</v>
      </c>
      <c r="G15" s="6">
        <f>G14-G29</f>
        <v>7257.4811940298514</v>
      </c>
      <c r="H15" s="6">
        <f t="shared" si="0"/>
        <v>8225.9283582089556</v>
      </c>
      <c r="I15" s="6">
        <f t="shared" si="0"/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80">
        <f>SUM(C15:N15)</f>
        <v>50407.048059701498</v>
      </c>
    </row>
    <row r="18" spans="2:15" ht="15" thickBot="1" x14ac:dyDescent="0.35">
      <c r="C18" s="8" t="s">
        <v>7</v>
      </c>
      <c r="D18" s="8" t="s">
        <v>8</v>
      </c>
      <c r="E18" s="8" t="s">
        <v>9</v>
      </c>
      <c r="F18" s="8" t="s">
        <v>10</v>
      </c>
      <c r="G18" s="8" t="s">
        <v>11</v>
      </c>
      <c r="H18" s="8" t="s">
        <v>12</v>
      </c>
      <c r="I18" s="8" t="s">
        <v>13</v>
      </c>
      <c r="J18" s="8" t="s">
        <v>14</v>
      </c>
      <c r="K18" s="8" t="s">
        <v>15</v>
      </c>
      <c r="L18" s="8" t="s">
        <v>16</v>
      </c>
      <c r="M18" s="8" t="s">
        <v>17</v>
      </c>
      <c r="N18" s="8" t="s">
        <v>18</v>
      </c>
      <c r="O18" s="8" t="s">
        <v>19</v>
      </c>
    </row>
    <row r="19" spans="2:15" ht="16.2" thickBot="1" x14ac:dyDescent="0.35">
      <c r="B19" s="81" t="s">
        <v>62</v>
      </c>
      <c r="C19" s="6">
        <f>Janvier!$H$23</f>
        <v>20245.895522388062</v>
      </c>
      <c r="D19" s="6">
        <f>Février!$H$28</f>
        <v>55988.013134328357</v>
      </c>
      <c r="E19" s="6">
        <f>Mars!$H$31</f>
        <v>68517.332835820882</v>
      </c>
      <c r="F19" s="6">
        <f>Avril!$H$34</f>
        <v>61560.583283582084</v>
      </c>
      <c r="G19" s="6">
        <f>Mai!$H$32</f>
        <v>58522.18358208955</v>
      </c>
      <c r="H19" s="6">
        <f>Juin!$H$33</f>
        <v>58475.508656716425</v>
      </c>
      <c r="I19" s="6">
        <f>Juillet!$H$21</f>
        <v>0</v>
      </c>
      <c r="J19" s="6">
        <f>Aout!$H$20</f>
        <v>0</v>
      </c>
      <c r="K19" s="6">
        <f>Septembre!$H$21</f>
        <v>0</v>
      </c>
      <c r="L19" s="6">
        <f>Ocotbre!$H$20</f>
        <v>0</v>
      </c>
      <c r="M19" s="6">
        <f>Novembre!$H$21</f>
        <v>0</v>
      </c>
      <c r="N19" s="6">
        <f>Décembre!$H$23</f>
        <v>0</v>
      </c>
      <c r="O19" s="80">
        <f>SUM(C19:N19)</f>
        <v>323309.51701492537</v>
      </c>
    </row>
    <row r="20" spans="2:15" ht="15.6" x14ac:dyDescent="0.3">
      <c r="B20" s="81" t="s">
        <v>66</v>
      </c>
      <c r="C20" s="6">
        <f t="shared" ref="C20:N20" si="1">C19-C30</f>
        <v>19442.202686567165</v>
      </c>
      <c r="D20" s="6">
        <f t="shared" si="1"/>
        <v>54547.411940298509</v>
      </c>
      <c r="E20" s="6">
        <f t="shared" si="1"/>
        <v>65861.999999999985</v>
      </c>
      <c r="F20" s="6">
        <f t="shared" si="1"/>
        <v>47703.764776119395</v>
      </c>
      <c r="G20" s="6">
        <f t="shared" si="1"/>
        <v>50857.896119402983</v>
      </c>
      <c r="H20" s="6">
        <f t="shared" si="1"/>
        <v>58122.747462686573</v>
      </c>
      <c r="I20" s="6">
        <f t="shared" si="1"/>
        <v>0</v>
      </c>
      <c r="J20" s="6">
        <f t="shared" si="1"/>
        <v>0</v>
      </c>
      <c r="K20" s="6">
        <f t="shared" si="1"/>
        <v>0</v>
      </c>
      <c r="L20" s="6">
        <f t="shared" si="1"/>
        <v>0</v>
      </c>
      <c r="M20" s="6">
        <f t="shared" si="1"/>
        <v>0</v>
      </c>
      <c r="N20" s="6">
        <f t="shared" si="1"/>
        <v>0</v>
      </c>
      <c r="O20" s="80">
        <f>SUM(C20:N20)</f>
        <v>296536.02298507461</v>
      </c>
    </row>
    <row r="23" spans="2:15" ht="15" thickBot="1" x14ac:dyDescent="0.35"/>
    <row r="24" spans="2:15" ht="16.2" thickBot="1" x14ac:dyDescent="0.35">
      <c r="B24" s="83" t="s">
        <v>118</v>
      </c>
      <c r="C24" s="6">
        <f>Janvier!$H$26</f>
        <v>30545.704477611944</v>
      </c>
      <c r="D24" s="6">
        <f>Février!$H$30</f>
        <v>68807.822089552239</v>
      </c>
      <c r="E24" s="6">
        <f>Mars!$H$33</f>
        <v>81082.403283582069</v>
      </c>
      <c r="F24" s="6">
        <f>Avril!H36</f>
        <v>74690.392238805973</v>
      </c>
      <c r="G24" s="6">
        <f>Mai!$H$34</f>
        <v>71327.262985074631</v>
      </c>
      <c r="H24" s="6">
        <f>Juin!$H$35</f>
        <v>69885.317611940307</v>
      </c>
      <c r="I24" s="6">
        <f>Juillet!$H$23</f>
        <v>0</v>
      </c>
      <c r="J24" s="6">
        <f>Aout!$H$22</f>
        <v>0</v>
      </c>
      <c r="K24" s="6">
        <f>Septembre!$H$23</f>
        <v>0</v>
      </c>
      <c r="L24" s="6">
        <f>Ocotbre!$H$22</f>
        <v>0</v>
      </c>
      <c r="M24" s="6">
        <f>Novembre!$H$23</f>
        <v>0</v>
      </c>
      <c r="N24" s="6">
        <f>Décembre!$H$26</f>
        <v>0</v>
      </c>
      <c r="O24" s="80">
        <f>SUM(C24:N24)</f>
        <v>396338.90268656716</v>
      </c>
    </row>
    <row r="25" spans="2:15" ht="15.6" x14ac:dyDescent="0.3">
      <c r="B25" s="83" t="s">
        <v>75</v>
      </c>
      <c r="C25" s="6">
        <f>C15+C20</f>
        <v>28076.67402985075</v>
      </c>
      <c r="D25" s="6">
        <f>D15+D20</f>
        <v>64987.680298507461</v>
      </c>
      <c r="E25" s="6">
        <f>E15+E20</f>
        <v>71110.30298507461</v>
      </c>
      <c r="F25" s="6">
        <f t="shared" ref="F25:N25" si="2">F15+F20</f>
        <v>58304.360597014922</v>
      </c>
      <c r="G25" s="6">
        <f>G15+G20</f>
        <v>58115.377313432837</v>
      </c>
      <c r="H25" s="6">
        <f t="shared" si="2"/>
        <v>66348.675820895529</v>
      </c>
      <c r="I25" s="6">
        <f t="shared" si="2"/>
        <v>0</v>
      </c>
      <c r="J25" s="6">
        <f t="shared" si="2"/>
        <v>0</v>
      </c>
      <c r="K25" s="6">
        <f t="shared" si="2"/>
        <v>0</v>
      </c>
      <c r="L25" s="6">
        <f t="shared" si="2"/>
        <v>0</v>
      </c>
      <c r="M25" s="6">
        <f t="shared" si="2"/>
        <v>0</v>
      </c>
      <c r="N25" s="6">
        <f t="shared" si="2"/>
        <v>0</v>
      </c>
      <c r="O25" s="80">
        <f>SUM(C25:N25)</f>
        <v>346943.07104477612</v>
      </c>
    </row>
    <row r="28" spans="2:15" ht="15" thickBot="1" x14ac:dyDescent="0.35">
      <c r="C28" s="8" t="s">
        <v>7</v>
      </c>
      <c r="D28" s="8" t="s">
        <v>8</v>
      </c>
      <c r="E28" s="8" t="s">
        <v>9</v>
      </c>
      <c r="F28" s="8" t="s">
        <v>10</v>
      </c>
      <c r="G28" s="8" t="s">
        <v>11</v>
      </c>
      <c r="H28" s="8" t="s">
        <v>12</v>
      </c>
      <c r="I28" s="8" t="s">
        <v>13</v>
      </c>
      <c r="J28" s="8" t="s">
        <v>14</v>
      </c>
      <c r="K28" s="8" t="s">
        <v>15</v>
      </c>
      <c r="L28" s="8" t="s">
        <v>16</v>
      </c>
      <c r="M28" s="8" t="s">
        <v>17</v>
      </c>
      <c r="N28" s="8" t="s">
        <v>18</v>
      </c>
      <c r="O28" s="8" t="s">
        <v>19</v>
      </c>
    </row>
    <row r="29" spans="2:15" ht="16.2" thickBot="1" x14ac:dyDescent="0.35">
      <c r="B29" s="22" t="s">
        <v>63</v>
      </c>
      <c r="C29" s="6">
        <f>Charge!$C$37/3.35</f>
        <v>1665.3376119402985</v>
      </c>
      <c r="D29" s="6">
        <f>Charge!$D$37/3.35</f>
        <v>2379.5405970149254</v>
      </c>
      <c r="E29" s="6">
        <f>Charge!$E$37/3.35</f>
        <v>7316.7674626865664</v>
      </c>
      <c r="F29" s="6">
        <f>Charge!$F$37/3.35</f>
        <v>2529.2131343283581</v>
      </c>
      <c r="G29" s="6">
        <f>Charge!$G$37/3.35</f>
        <v>5547.5982089552235</v>
      </c>
      <c r="H29" s="6">
        <f>Charge!$H$37/3.35</f>
        <v>3183.8805970149251</v>
      </c>
      <c r="I29" s="6">
        <f>Charge!$I$37/3.35</f>
        <v>0</v>
      </c>
      <c r="J29" s="6">
        <f>Charge!$J$37/3.35</f>
        <v>0</v>
      </c>
      <c r="K29" s="6">
        <f>Charge!$K$37/3.35</f>
        <v>0</v>
      </c>
      <c r="L29" s="6">
        <f>Charge!$L$37/3.35</f>
        <v>0</v>
      </c>
      <c r="M29" s="6">
        <f>Charge!$M$37/3.35</f>
        <v>0</v>
      </c>
      <c r="N29" s="6">
        <f>Charge!$N$37/3.31</f>
        <v>0</v>
      </c>
      <c r="O29" s="80">
        <f>SUM(C29:N29)</f>
        <v>22622.337611940296</v>
      </c>
    </row>
    <row r="30" spans="2:15" ht="16.2" thickBot="1" x14ac:dyDescent="0.35">
      <c r="B30" s="22" t="s">
        <v>64</v>
      </c>
      <c r="C30" s="6">
        <f>Charge!$C$47/3.35</f>
        <v>803.69283582089554</v>
      </c>
      <c r="D30" s="6">
        <f>Charge!$D$47/3.35</f>
        <v>1440.6011940298508</v>
      </c>
      <c r="E30" s="6">
        <f>Charge!$E$47/3.35</f>
        <v>2655.3328358208955</v>
      </c>
      <c r="F30" s="6">
        <f>Charge!$F$47/3.35</f>
        <v>13856.818507462685</v>
      </c>
      <c r="G30" s="6">
        <f>Charge!$G$47/3.35</f>
        <v>7664.287462686566</v>
      </c>
      <c r="H30" s="6">
        <f>Charge!$H$47/3.35</f>
        <v>352.76119402985074</v>
      </c>
      <c r="I30" s="6">
        <f>Charge!$I$47/3.35</f>
        <v>0</v>
      </c>
      <c r="J30" s="6">
        <f>Charge!$J$47/3.35</f>
        <v>0</v>
      </c>
      <c r="K30" s="6">
        <f>Charge!$K$47/3.35</f>
        <v>0</v>
      </c>
      <c r="L30" s="6">
        <f>Charge!$L$47/3.35</f>
        <v>0</v>
      </c>
      <c r="M30" s="6">
        <f>Charge!$M$47/3.35</f>
        <v>0</v>
      </c>
      <c r="N30" s="6">
        <f>Charge!$N$47/3.31</f>
        <v>0</v>
      </c>
      <c r="O30" s="80">
        <f>SUM(C30:N30)</f>
        <v>26773.494029850746</v>
      </c>
    </row>
    <row r="31" spans="2:15" ht="15.6" x14ac:dyDescent="0.3">
      <c r="B31" s="5" t="s">
        <v>58</v>
      </c>
      <c r="C31" s="6">
        <f>Charge!$C$49/3.35</f>
        <v>2469.030447761194</v>
      </c>
      <c r="D31" s="6">
        <f>Charge!$D$49/3.35</f>
        <v>3820.1417910447763</v>
      </c>
      <c r="E31" s="6">
        <f>Charge!$E$49/3.35</f>
        <v>9972.1002985074629</v>
      </c>
      <c r="F31" s="6">
        <f>Charge!$F$49/3.35</f>
        <v>16386.031641791044</v>
      </c>
      <c r="G31" s="6">
        <f>Charge!$G$49/3.35</f>
        <v>13211.885671641789</v>
      </c>
      <c r="H31" s="6">
        <f>Charge!$H$49/3.35</f>
        <v>3536.6417910447758</v>
      </c>
      <c r="I31" s="6">
        <f>Charge!$I$49/3.35</f>
        <v>0</v>
      </c>
      <c r="J31" s="6">
        <f>Charge!$J$49/3.35</f>
        <v>0</v>
      </c>
      <c r="K31" s="6">
        <f>Charge!$K$49/3.35</f>
        <v>0</v>
      </c>
      <c r="L31" s="6">
        <f>Charge!$L$49/3.35</f>
        <v>0</v>
      </c>
      <c r="M31" s="6">
        <f>Charge!$M$49/3.35</f>
        <v>0</v>
      </c>
      <c r="N31" s="6">
        <f>Charge!$N$49/3.31</f>
        <v>0</v>
      </c>
      <c r="O31" s="80">
        <f>SUM(C31:N31)</f>
        <v>49395.831641791039</v>
      </c>
    </row>
  </sheetData>
  <conditionalFormatting sqref="C24:N24">
    <cfRule type="cellIs" dxfId="445" priority="39" operator="lessThan">
      <formula>0</formula>
    </cfRule>
    <cfRule type="cellIs" dxfId="444" priority="40" operator="greaterThanOrEqual">
      <formula>0</formula>
    </cfRule>
  </conditionalFormatting>
  <conditionalFormatting sqref="C14:N14">
    <cfRule type="cellIs" dxfId="443" priority="31" operator="lessThan">
      <formula>0</formula>
    </cfRule>
    <cfRule type="cellIs" dxfId="442" priority="32" operator="greaterThanOrEqual">
      <formula>0</formula>
    </cfRule>
  </conditionalFormatting>
  <conditionalFormatting sqref="C19:N19">
    <cfRule type="cellIs" dxfId="441" priority="27" operator="lessThan">
      <formula>0</formula>
    </cfRule>
    <cfRule type="cellIs" dxfId="440" priority="28" operator="greaterThanOrEqual">
      <formula>0</formula>
    </cfRule>
  </conditionalFormatting>
  <conditionalFormatting sqref="C29:N29">
    <cfRule type="cellIs" dxfId="439" priority="23" operator="lessThan">
      <formula>0</formula>
    </cfRule>
    <cfRule type="cellIs" dxfId="438" priority="24" operator="greaterThanOrEqual">
      <formula>0</formula>
    </cfRule>
  </conditionalFormatting>
  <conditionalFormatting sqref="C30:N30">
    <cfRule type="cellIs" dxfId="437" priority="19" operator="lessThan">
      <formula>0</formula>
    </cfRule>
    <cfRule type="cellIs" dxfId="436" priority="20" operator="greaterThanOrEqual">
      <formula>0</formula>
    </cfRule>
  </conditionalFormatting>
  <conditionalFormatting sqref="C31:N31">
    <cfRule type="cellIs" dxfId="435" priority="17" operator="lessThan">
      <formula>0</formula>
    </cfRule>
    <cfRule type="cellIs" dxfId="434" priority="18" operator="greaterThanOrEqual">
      <formula>0</formula>
    </cfRule>
  </conditionalFormatting>
  <conditionalFormatting sqref="C15:N15">
    <cfRule type="cellIs" dxfId="433" priority="15" operator="lessThan">
      <formula>0</formula>
    </cfRule>
    <cfRule type="cellIs" dxfId="432" priority="16" operator="greaterThanOrEqual">
      <formula>0</formula>
    </cfRule>
  </conditionalFormatting>
  <conditionalFormatting sqref="C20:N20">
    <cfRule type="cellIs" dxfId="431" priority="11" operator="lessThan">
      <formula>0</formula>
    </cfRule>
    <cfRule type="cellIs" dxfId="430" priority="12" operator="greaterThanOrEqual">
      <formula>0</formula>
    </cfRule>
  </conditionalFormatting>
  <conditionalFormatting sqref="C25:N25">
    <cfRule type="cellIs" dxfId="429" priority="9" operator="lessThan">
      <formula>0</formula>
    </cfRule>
    <cfRule type="cellIs" dxfId="428" priority="10" operator="greaterThanOrEqual">
      <formula>0</formula>
    </cfRule>
  </conditionalFormatting>
  <conditionalFormatting sqref="C6:N6">
    <cfRule type="cellIs" dxfId="427" priority="7" operator="lessThan">
      <formula>0</formula>
    </cfRule>
    <cfRule type="cellIs" dxfId="426" priority="8" operator="greaterThanOrEqual">
      <formula>0</formula>
    </cfRule>
  </conditionalFormatting>
  <conditionalFormatting sqref="C7:N7">
    <cfRule type="cellIs" dxfId="425" priority="5" operator="lessThan">
      <formula>0</formula>
    </cfRule>
    <cfRule type="cellIs" dxfId="424" priority="6" operator="greaterThanOrEqual">
      <formula>0</formula>
    </cfRule>
  </conditionalFormatting>
  <conditionalFormatting sqref="C10:N10">
    <cfRule type="cellIs" dxfId="423" priority="3" operator="lessThan">
      <formula>0</formula>
    </cfRule>
    <cfRule type="cellIs" dxfId="422" priority="4" operator="greaterThanOrEqual">
      <formula>0</formula>
    </cfRule>
  </conditionalFormatting>
  <conditionalFormatting sqref="C11:N11">
    <cfRule type="cellIs" dxfId="421" priority="1" operator="lessThan">
      <formula>0</formula>
    </cfRule>
    <cfRule type="cellIs" dxfId="420" priority="2" operator="greaterThanOr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zoomScale="83" zoomScaleNormal="83" workbookViewId="0">
      <selection activeCell="E22" sqref="E22"/>
    </sheetView>
  </sheetViews>
  <sheetFormatPr baseColWidth="10" defaultRowHeight="14.4" x14ac:dyDescent="0.3"/>
  <cols>
    <col min="2" max="2" width="26.77734375" bestFit="1" customWidth="1"/>
    <col min="3" max="3" width="14.109375" customWidth="1"/>
    <col min="4" max="4" width="32.21875" style="14" bestFit="1" customWidth="1"/>
    <col min="5" max="5" width="21.5546875" customWidth="1"/>
    <col min="6" max="6" width="25.77734375" customWidth="1"/>
    <col min="7" max="7" width="24.21875" bestFit="1" customWidth="1"/>
    <col min="8" max="8" width="14.6640625" customWidth="1"/>
    <col min="9" max="30" width="28.5546875" customWidth="1"/>
  </cols>
  <sheetData>
    <row r="1" spans="2:10" ht="19.2" customHeight="1" x14ac:dyDescent="0.3"/>
    <row r="2" spans="2:10" ht="19.2" customHeight="1" x14ac:dyDescent="0.3">
      <c r="G2" s="56" t="s">
        <v>24</v>
      </c>
      <c r="H2" s="56">
        <v>3.35</v>
      </c>
    </row>
    <row r="3" spans="2:10" ht="19.2" customHeight="1" thickBot="1" x14ac:dyDescent="0.35"/>
    <row r="4" spans="2:10" ht="19.2" customHeight="1" thickBot="1" x14ac:dyDescent="0.35">
      <c r="C4" s="23" t="s">
        <v>59</v>
      </c>
      <c r="D4" s="9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2:10" ht="19.2" customHeight="1" thickBot="1" x14ac:dyDescent="0.35">
      <c r="B5" s="15" t="s">
        <v>1</v>
      </c>
      <c r="C5" s="82" t="s">
        <v>33</v>
      </c>
      <c r="D5" s="129" t="s">
        <v>20</v>
      </c>
      <c r="E5" s="6">
        <v>5280</v>
      </c>
      <c r="F5" s="6"/>
      <c r="G5" s="6">
        <f>(21.95+1180.69+3354)/H2</f>
        <v>1360.1910447761195</v>
      </c>
      <c r="H5" s="25">
        <f>E5-(F5+G5)</f>
        <v>3919.8089552238807</v>
      </c>
    </row>
    <row r="6" spans="2:10" ht="19.2" customHeight="1" thickBot="1" x14ac:dyDescent="0.35">
      <c r="B6" s="143" t="s">
        <v>2</v>
      </c>
      <c r="C6" s="82" t="s">
        <v>35</v>
      </c>
      <c r="D6" s="130" t="s">
        <v>28</v>
      </c>
      <c r="E6" s="6">
        <v>3780</v>
      </c>
      <c r="F6" s="6"/>
      <c r="G6" s="6"/>
      <c r="H6" s="6">
        <f>E6-(F6+G6)</f>
        <v>3780</v>
      </c>
    </row>
    <row r="7" spans="2:10" ht="19.2" customHeight="1" thickBot="1" x14ac:dyDescent="0.35">
      <c r="B7" s="144"/>
      <c r="C7" s="82" t="s">
        <v>35</v>
      </c>
      <c r="D7" s="129" t="s">
        <v>25</v>
      </c>
      <c r="E7" s="6">
        <v>3780</v>
      </c>
      <c r="F7" s="6">
        <f>21*140</f>
        <v>2940</v>
      </c>
      <c r="G7" s="6"/>
      <c r="H7" s="6">
        <f>E7-(F7+G7)</f>
        <v>840</v>
      </c>
    </row>
    <row r="8" spans="2:10" ht="19.2" customHeight="1" thickBot="1" x14ac:dyDescent="0.35">
      <c r="B8" s="144"/>
      <c r="C8" s="82" t="s">
        <v>35</v>
      </c>
      <c r="D8" s="129" t="s">
        <v>70</v>
      </c>
      <c r="E8" s="6">
        <f>22*280</f>
        <v>6160</v>
      </c>
      <c r="F8" s="13">
        <f>200*22</f>
        <v>4400</v>
      </c>
      <c r="G8" s="6"/>
      <c r="H8" s="6">
        <f>E8-(F8+G8)</f>
        <v>1760</v>
      </c>
    </row>
    <row r="9" spans="2:10" ht="19.2" customHeight="1" x14ac:dyDescent="0.3">
      <c r="D9" s="5" t="s">
        <v>134</v>
      </c>
      <c r="E9" s="136">
        <f>SUM(Tableau8[facturation client HT])</f>
        <v>19000</v>
      </c>
      <c r="F9" s="136">
        <f>SUM(Tableau8[facturation Fournisseur HT])</f>
        <v>7340</v>
      </c>
      <c r="G9" s="5" t="s">
        <v>61</v>
      </c>
      <c r="H9" s="6">
        <f>SUM(H5:H8)</f>
        <v>10299.808955223882</v>
      </c>
    </row>
    <row r="10" spans="2:10" ht="19.2" customHeight="1" thickBot="1" x14ac:dyDescent="0.35"/>
    <row r="11" spans="2:10" ht="16.2" thickBot="1" x14ac:dyDescent="0.35">
      <c r="B11" s="145" t="s">
        <v>2</v>
      </c>
      <c r="C11" s="131" t="s">
        <v>36</v>
      </c>
      <c r="D11" s="129" t="s">
        <v>27</v>
      </c>
      <c r="E11" s="6">
        <f>22*270</f>
        <v>5940</v>
      </c>
      <c r="F11" s="6">
        <f>(22*170)+(22*20)</f>
        <v>4180</v>
      </c>
      <c r="G11" s="6"/>
      <c r="H11" s="6">
        <f>E11-(F11+G11)</f>
        <v>1760</v>
      </c>
    </row>
    <row r="12" spans="2:10" ht="16.2" thickBot="1" x14ac:dyDescent="0.35">
      <c r="B12" s="145"/>
      <c r="C12" s="131" t="s">
        <v>36</v>
      </c>
      <c r="D12" s="129" t="s">
        <v>23</v>
      </c>
      <c r="E12" s="6">
        <v>1050</v>
      </c>
      <c r="F12" s="6"/>
      <c r="G12" s="6"/>
      <c r="H12" s="6">
        <f>E12-(F12+G12)</f>
        <v>1050</v>
      </c>
      <c r="J12" s="128"/>
    </row>
    <row r="13" spans="2:10" ht="16.2" thickBot="1" x14ac:dyDescent="0.35">
      <c r="B13" s="145"/>
      <c r="C13" s="131" t="s">
        <v>36</v>
      </c>
      <c r="D13" s="129" t="s">
        <v>68</v>
      </c>
      <c r="E13" s="6">
        <f>22*220</f>
        <v>4840</v>
      </c>
      <c r="F13" s="6">
        <f>140*22</f>
        <v>3080</v>
      </c>
      <c r="G13" s="6"/>
      <c r="H13" s="6">
        <f>E13-(F13+G13)</f>
        <v>1760</v>
      </c>
    </row>
    <row r="14" spans="2:10" ht="16.2" thickBot="1" x14ac:dyDescent="0.35">
      <c r="B14" s="145"/>
      <c r="C14" s="131" t="s">
        <v>36</v>
      </c>
      <c r="D14" s="129" t="s">
        <v>71</v>
      </c>
      <c r="E14" s="6">
        <f>13*320</f>
        <v>4160</v>
      </c>
      <c r="F14" s="6">
        <f>13*200</f>
        <v>2600</v>
      </c>
      <c r="G14" s="6"/>
      <c r="H14" s="6">
        <f t="shared" ref="H14:H22" si="0">E14-(F14+G14)</f>
        <v>1560</v>
      </c>
    </row>
    <row r="15" spans="2:10" ht="16.2" thickBot="1" x14ac:dyDescent="0.35">
      <c r="B15" s="145"/>
      <c r="C15" s="131" t="s">
        <v>36</v>
      </c>
      <c r="D15" s="129" t="s">
        <v>72</v>
      </c>
      <c r="E15" s="6">
        <f>22*290</f>
        <v>6380</v>
      </c>
      <c r="F15" s="6">
        <f>22*200</f>
        <v>4400</v>
      </c>
      <c r="G15" s="6"/>
      <c r="H15" s="6">
        <f t="shared" si="0"/>
        <v>1980</v>
      </c>
    </row>
    <row r="16" spans="2:10" ht="16.2" thickBot="1" x14ac:dyDescent="0.35">
      <c r="B16" s="145"/>
      <c r="C16" s="131" t="s">
        <v>36</v>
      </c>
      <c r="D16" s="129" t="s">
        <v>119</v>
      </c>
      <c r="E16" s="6">
        <f>20.5*460</f>
        <v>9430</v>
      </c>
      <c r="F16" s="6">
        <f>(1000*20.5)/H2</f>
        <v>6119.4029850746265</v>
      </c>
      <c r="G16" s="6"/>
      <c r="H16" s="6">
        <f t="shared" si="0"/>
        <v>3310.5970149253735</v>
      </c>
    </row>
    <row r="17" spans="2:8" ht="16.2" thickBot="1" x14ac:dyDescent="0.35">
      <c r="B17" s="145"/>
      <c r="C17" s="131" t="s">
        <v>36</v>
      </c>
      <c r="D17" s="129" t="s">
        <v>30</v>
      </c>
      <c r="E17" s="6">
        <f>22*280</f>
        <v>6160</v>
      </c>
      <c r="F17" s="6">
        <f>200*22</f>
        <v>4400</v>
      </c>
      <c r="G17" s="6"/>
      <c r="H17" s="6">
        <f t="shared" si="0"/>
        <v>1760</v>
      </c>
    </row>
    <row r="18" spans="2:8" ht="16.2" thickBot="1" x14ac:dyDescent="0.35">
      <c r="B18" s="145"/>
      <c r="C18" s="131" t="s">
        <v>36</v>
      </c>
      <c r="D18" s="129" t="s">
        <v>67</v>
      </c>
      <c r="E18" s="6">
        <f>(1500+5000)/H2</f>
        <v>1940.2985074626865</v>
      </c>
      <c r="F18" s="6"/>
      <c r="G18" s="6"/>
      <c r="H18" s="6">
        <f t="shared" si="0"/>
        <v>1940.2985074626865</v>
      </c>
    </row>
    <row r="19" spans="2:8" ht="16.2" thickBot="1" x14ac:dyDescent="0.35">
      <c r="B19" s="145"/>
      <c r="C19" s="131" t="s">
        <v>36</v>
      </c>
      <c r="D19" s="129" t="s">
        <v>77</v>
      </c>
      <c r="E19" s="6">
        <f>23.5*290</f>
        <v>6815</v>
      </c>
      <c r="F19" s="6">
        <f>20.5*160</f>
        <v>3280</v>
      </c>
      <c r="G19" s="6"/>
      <c r="H19" s="6">
        <f t="shared" si="0"/>
        <v>3535</v>
      </c>
    </row>
    <row r="20" spans="2:8" ht="16.2" thickBot="1" x14ac:dyDescent="0.35">
      <c r="B20" s="145"/>
      <c r="C20" s="131" t="s">
        <v>36</v>
      </c>
      <c r="D20" s="129" t="s">
        <v>78</v>
      </c>
      <c r="E20" s="6">
        <f>1.5*260</f>
        <v>390</v>
      </c>
      <c r="F20" s="6">
        <f>1.5*200</f>
        <v>300</v>
      </c>
      <c r="G20" s="6"/>
      <c r="H20" s="6">
        <f t="shared" si="0"/>
        <v>90</v>
      </c>
    </row>
    <row r="21" spans="2:8" ht="16.2" thickBot="1" x14ac:dyDescent="0.35">
      <c r="B21" s="145"/>
      <c r="C21" s="131" t="s">
        <v>36</v>
      </c>
      <c r="D21" s="129" t="s">
        <v>79</v>
      </c>
      <c r="E21" s="6">
        <f>6*320</f>
        <v>1920</v>
      </c>
      <c r="F21" s="6">
        <f>6*220</f>
        <v>1320</v>
      </c>
      <c r="G21" s="6"/>
      <c r="H21" s="6">
        <f t="shared" si="0"/>
        <v>600</v>
      </c>
    </row>
    <row r="22" spans="2:8" ht="15.6" customHeight="1" thickBot="1" x14ac:dyDescent="0.35">
      <c r="B22" s="127"/>
      <c r="C22" s="131" t="s">
        <v>36</v>
      </c>
      <c r="D22" s="129" t="s">
        <v>123</v>
      </c>
      <c r="E22" s="6">
        <f>18*50</f>
        <v>900</v>
      </c>
      <c r="F22" s="6"/>
      <c r="G22" s="6"/>
      <c r="H22" s="6">
        <f t="shared" si="0"/>
        <v>900</v>
      </c>
    </row>
    <row r="23" spans="2:8" ht="15.6" x14ac:dyDescent="0.3">
      <c r="D23" s="5" t="s">
        <v>134</v>
      </c>
      <c r="E23" s="136">
        <f>SUM(E11:E22)</f>
        <v>49925.298507462685</v>
      </c>
      <c r="F23" s="136">
        <f>SUM(F11:F22)</f>
        <v>29679.402985074626</v>
      </c>
      <c r="G23" s="5" t="s">
        <v>62</v>
      </c>
      <c r="H23" s="6">
        <f>SUM(H11:H22)</f>
        <v>20245.895522388062</v>
      </c>
    </row>
    <row r="25" spans="2:8" ht="15" thickBot="1" x14ac:dyDescent="0.35"/>
    <row r="26" spans="2:8" ht="15.6" x14ac:dyDescent="0.3">
      <c r="G26" s="5" t="s">
        <v>6</v>
      </c>
      <c r="H26" s="6">
        <f>H9+H23</f>
        <v>30545.704477611944</v>
      </c>
    </row>
  </sheetData>
  <mergeCells count="2">
    <mergeCell ref="B6:B8"/>
    <mergeCell ref="B11:B21"/>
  </mergeCells>
  <conditionalFormatting sqref="H5 H21:H23">
    <cfRule type="cellIs" dxfId="419" priority="75" operator="lessThan">
      <formula>0</formula>
    </cfRule>
    <cfRule type="cellIs" dxfId="418" priority="76" operator="greaterThan">
      <formula>0</formula>
    </cfRule>
  </conditionalFormatting>
  <conditionalFormatting sqref="E5">
    <cfRule type="cellIs" dxfId="417" priority="59" operator="lessThan">
      <formula>0</formula>
    </cfRule>
    <cfRule type="cellIs" dxfId="416" priority="60" operator="greaterThanOrEqual">
      <formula>0</formula>
    </cfRule>
  </conditionalFormatting>
  <conditionalFormatting sqref="F5">
    <cfRule type="cellIs" dxfId="415" priority="37" operator="greaterThanOrEqual">
      <formula>0</formula>
    </cfRule>
    <cfRule type="cellIs" dxfId="414" priority="38" operator="lessThanOrEqual">
      <formula>0</formula>
    </cfRule>
  </conditionalFormatting>
  <conditionalFormatting sqref="G5">
    <cfRule type="cellIs" dxfId="413" priority="35" operator="greaterThanOrEqual">
      <formula>0</formula>
    </cfRule>
    <cfRule type="cellIs" dxfId="412" priority="36" operator="lessThanOrEqual">
      <formula>0</formula>
    </cfRule>
  </conditionalFormatting>
  <conditionalFormatting sqref="H11:H20">
    <cfRule type="cellIs" dxfId="411" priority="31" operator="lessThan">
      <formula>0</formula>
    </cfRule>
    <cfRule type="cellIs" dxfId="410" priority="32" operator="greaterThan">
      <formula>0</formula>
    </cfRule>
  </conditionalFormatting>
  <conditionalFormatting sqref="E11:E22">
    <cfRule type="cellIs" dxfId="409" priority="29" operator="lessThan">
      <formula>0</formula>
    </cfRule>
    <cfRule type="cellIs" dxfId="408" priority="30" operator="greaterThanOrEqual">
      <formula>0</formula>
    </cfRule>
  </conditionalFormatting>
  <conditionalFormatting sqref="F11:G13 G14:G22">
    <cfRule type="cellIs" dxfId="407" priority="27" operator="greaterThanOrEqual">
      <formula>0</formula>
    </cfRule>
    <cfRule type="cellIs" dxfId="406" priority="28" operator="lessThanOrEqual">
      <formula>0</formula>
    </cfRule>
  </conditionalFormatting>
  <conditionalFormatting sqref="F14:F22">
    <cfRule type="cellIs" dxfId="405" priority="25" operator="greaterThanOrEqual">
      <formula>0</formula>
    </cfRule>
    <cfRule type="cellIs" dxfId="404" priority="26" operator="lessThanOrEqual">
      <formula>0</formula>
    </cfRule>
  </conditionalFormatting>
  <conditionalFormatting sqref="H26">
    <cfRule type="cellIs" dxfId="403" priority="21" operator="lessThan">
      <formula>0</formula>
    </cfRule>
    <cfRule type="cellIs" dxfId="402" priority="22" operator="greaterThan">
      <formula>0</formula>
    </cfRule>
  </conditionalFormatting>
  <conditionalFormatting sqref="H6:H8">
    <cfRule type="cellIs" dxfId="401" priority="19" operator="lessThan">
      <formula>0</formula>
    </cfRule>
    <cfRule type="cellIs" dxfId="400" priority="20" operator="greaterThan">
      <formula>0</formula>
    </cfRule>
  </conditionalFormatting>
  <conditionalFormatting sqref="E6:E8">
    <cfRule type="cellIs" dxfId="399" priority="17" operator="lessThan">
      <formula>0</formula>
    </cfRule>
    <cfRule type="cellIs" dxfId="398" priority="18" operator="greaterThanOrEqual">
      <formula>0</formula>
    </cfRule>
  </conditionalFormatting>
  <conditionalFormatting sqref="F6:G6 G7:G8">
    <cfRule type="cellIs" dxfId="397" priority="15" operator="greaterThanOrEqual">
      <formula>0</formula>
    </cfRule>
    <cfRule type="cellIs" dxfId="396" priority="16" operator="lessThanOrEqual">
      <formula>0</formula>
    </cfRule>
  </conditionalFormatting>
  <conditionalFormatting sqref="H9">
    <cfRule type="cellIs" dxfId="395" priority="11" operator="lessThan">
      <formula>0</formula>
    </cfRule>
    <cfRule type="cellIs" dxfId="394" priority="12" operator="greaterThanOrEqual">
      <formula>0</formula>
    </cfRule>
  </conditionalFormatting>
  <conditionalFormatting sqref="F7">
    <cfRule type="cellIs" dxfId="393" priority="9" operator="greaterThanOrEqual">
      <formula>0</formula>
    </cfRule>
    <cfRule type="cellIs" dxfId="392" priority="10" operator="lessThanOr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0"/>
  <sheetViews>
    <sheetView topLeftCell="A3" zoomScale="85" zoomScaleNormal="85" workbookViewId="0">
      <selection activeCell="E26" sqref="E26"/>
    </sheetView>
  </sheetViews>
  <sheetFormatPr baseColWidth="10" defaultRowHeight="14.4" x14ac:dyDescent="0.3"/>
  <cols>
    <col min="2" max="2" width="26.33203125" bestFit="1" customWidth="1"/>
    <col min="3" max="3" width="12.77734375" bestFit="1" customWidth="1"/>
    <col min="4" max="4" width="31.88671875" bestFit="1" customWidth="1"/>
    <col min="5" max="5" width="22.21875" customWidth="1"/>
    <col min="6" max="6" width="25.21875" customWidth="1"/>
    <col min="7" max="7" width="25" bestFit="1" customWidth="1"/>
    <col min="8" max="8" width="15.109375" customWidth="1"/>
    <col min="9" max="36" width="16.77734375" customWidth="1"/>
  </cols>
  <sheetData>
    <row r="1" spans="2:33" x14ac:dyDescent="0.3">
      <c r="AG1" s="2"/>
    </row>
    <row r="2" spans="2:33" ht="19.2" customHeight="1" x14ac:dyDescent="0.3">
      <c r="G2" s="56" t="s">
        <v>24</v>
      </c>
      <c r="H2" s="56">
        <v>3.35</v>
      </c>
    </row>
    <row r="3" spans="2:33" ht="19.2" customHeight="1" thickBot="1" x14ac:dyDescent="0.35"/>
    <row r="4" spans="2:33" ht="19.2" customHeight="1" thickBot="1" x14ac:dyDescent="0.35">
      <c r="C4" s="23" t="s">
        <v>59</v>
      </c>
      <c r="D4" s="3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2:33" ht="19.2" customHeight="1" thickBot="1" x14ac:dyDescent="0.35">
      <c r="B5" s="47" t="s">
        <v>1</v>
      </c>
      <c r="C5" s="82" t="s">
        <v>33</v>
      </c>
      <c r="D5" s="129" t="s">
        <v>20</v>
      </c>
      <c r="E5" s="6">
        <v>3840</v>
      </c>
      <c r="F5" s="6"/>
      <c r="G5" s="6">
        <f>(21.95+1180.69+3354)/H2</f>
        <v>1360.1910447761195</v>
      </c>
      <c r="H5" s="25">
        <f>Tableau7[[#This Row],[facturation client HT]]-(Tableau7[[#This Row],[facturation Fournisseur HT]]+Tableau7[[#This Row],[ Salaire NET]])</f>
        <v>2479.8089552238807</v>
      </c>
    </row>
    <row r="6" spans="2:33" ht="19.2" customHeight="1" thickBot="1" x14ac:dyDescent="0.35">
      <c r="B6" s="146" t="s">
        <v>2</v>
      </c>
      <c r="C6" s="82" t="s">
        <v>33</v>
      </c>
      <c r="D6" s="129" t="s">
        <v>121</v>
      </c>
      <c r="E6" s="6">
        <f>18*270</f>
        <v>4860</v>
      </c>
      <c r="F6" s="6">
        <f>18*155</f>
        <v>2790</v>
      </c>
      <c r="G6" s="6"/>
      <c r="H6" s="25">
        <f>Tableau7[[#This Row],[facturation client HT]]-(Tableau7[[#This Row],[facturation Fournisseur HT]]+Tableau7[[#This Row],[ Salaire NET]])</f>
        <v>2070</v>
      </c>
    </row>
    <row r="7" spans="2:33" ht="19.2" customHeight="1" thickBot="1" x14ac:dyDescent="0.35">
      <c r="B7" s="145"/>
      <c r="C7" s="82" t="s">
        <v>33</v>
      </c>
      <c r="D7" s="130" t="s">
        <v>22</v>
      </c>
      <c r="E7" s="6">
        <f>18*270</f>
        <v>4860</v>
      </c>
      <c r="F7" s="6">
        <f>18*160</f>
        <v>2880</v>
      </c>
      <c r="G7" s="6"/>
      <c r="H7" s="25">
        <f>Tableau7[[#This Row],[facturation client HT]]-(Tableau7[[#This Row],[facturation Fournisseur HT]]+Tableau7[[#This Row],[ Salaire NET]])</f>
        <v>1980</v>
      </c>
    </row>
    <row r="8" spans="2:33" ht="19.2" customHeight="1" thickBot="1" x14ac:dyDescent="0.35">
      <c r="B8" s="145"/>
      <c r="C8" s="82" t="s">
        <v>33</v>
      </c>
      <c r="D8" s="130" t="s">
        <v>28</v>
      </c>
      <c r="E8" s="6">
        <v>4050</v>
      </c>
      <c r="F8" s="6"/>
      <c r="G8" s="6"/>
      <c r="H8" s="25">
        <f>Tableau7[[#This Row],[facturation client HT]]-(Tableau7[[#This Row],[facturation Fournisseur HT]]+Tableau7[[#This Row],[ Salaire NET]])</f>
        <v>4050</v>
      </c>
    </row>
    <row r="9" spans="2:33" ht="19.2" customHeight="1" thickBot="1" x14ac:dyDescent="0.35">
      <c r="B9" s="145"/>
      <c r="C9" s="82" t="s">
        <v>33</v>
      </c>
      <c r="D9" s="129" t="s">
        <v>25</v>
      </c>
      <c r="E9" s="6">
        <f>20*180</f>
        <v>3600</v>
      </c>
      <c r="F9" s="6">
        <f>20*140</f>
        <v>2800</v>
      </c>
      <c r="G9" s="6"/>
      <c r="H9" s="25">
        <f>Tableau7[[#This Row],[facturation client HT]]-(Tableau7[[#This Row],[facturation Fournisseur HT]]+Tableau7[[#This Row],[ Salaire NET]])</f>
        <v>800</v>
      </c>
    </row>
    <row r="10" spans="2:33" ht="19.2" customHeight="1" thickBot="1" x14ac:dyDescent="0.35">
      <c r="B10" s="145"/>
      <c r="C10" s="82" t="s">
        <v>33</v>
      </c>
      <c r="D10" s="129" t="s">
        <v>70</v>
      </c>
      <c r="E10" s="6">
        <f>18*280</f>
        <v>5040</v>
      </c>
      <c r="F10" s="6">
        <f>18*200</f>
        <v>3600</v>
      </c>
      <c r="G10" s="6"/>
      <c r="H10" s="25">
        <f>Tableau7[[#This Row],[facturation client HT]]-(Tableau7[[#This Row],[facturation Fournisseur HT]]+Tableau7[[#This Row],[ Salaire NET]])</f>
        <v>1440</v>
      </c>
    </row>
    <row r="11" spans="2:33" ht="19.2" customHeight="1" x14ac:dyDescent="0.3">
      <c r="D11" s="5" t="s">
        <v>134</v>
      </c>
      <c r="E11" s="136">
        <f>SUM(E5:E10)</f>
        <v>26250</v>
      </c>
      <c r="F11" s="136">
        <f>SUM(F5:F10)</f>
        <v>12070</v>
      </c>
      <c r="G11" s="5" t="s">
        <v>61</v>
      </c>
      <c r="H11" s="25">
        <f>SUM(H5:H10)</f>
        <v>12819.808955223882</v>
      </c>
    </row>
    <row r="12" spans="2:33" ht="15" thickBot="1" x14ac:dyDescent="0.35">
      <c r="H12">
        <f t="shared" ref="H12:H17" si="0">E12-(F12+G12)</f>
        <v>0</v>
      </c>
    </row>
    <row r="13" spans="2:33" ht="21" customHeight="1" thickBot="1" x14ac:dyDescent="0.35">
      <c r="B13" s="58" t="s">
        <v>1</v>
      </c>
      <c r="C13" s="131" t="s">
        <v>32</v>
      </c>
      <c r="D13" s="129" t="s">
        <v>122</v>
      </c>
      <c r="E13" s="6">
        <f>9*240</f>
        <v>2160</v>
      </c>
      <c r="F13" s="6"/>
      <c r="G13" s="6">
        <f>(2470+713.081+11.575)/H2</f>
        <v>953.62865671641782</v>
      </c>
      <c r="H13" s="25">
        <f t="shared" si="0"/>
        <v>1206.3713432835821</v>
      </c>
    </row>
    <row r="14" spans="2:33" ht="19.2" customHeight="1" thickBot="1" x14ac:dyDescent="0.35">
      <c r="B14" s="146" t="s">
        <v>2</v>
      </c>
      <c r="C14" s="131" t="s">
        <v>32</v>
      </c>
      <c r="D14" s="129" t="s">
        <v>27</v>
      </c>
      <c r="E14" s="6">
        <f>20*270</f>
        <v>5400</v>
      </c>
      <c r="F14" s="6">
        <f>(20*170)+(20*20)</f>
        <v>3800</v>
      </c>
      <c r="G14" s="6"/>
      <c r="H14" s="25">
        <f t="shared" si="0"/>
        <v>1600</v>
      </c>
    </row>
    <row r="15" spans="2:33" ht="19.2" customHeight="1" thickBot="1" x14ac:dyDescent="0.35">
      <c r="B15" s="145"/>
      <c r="C15" s="131" t="s">
        <v>32</v>
      </c>
      <c r="D15" s="129" t="s">
        <v>23</v>
      </c>
      <c r="E15" s="6">
        <f>20*50</f>
        <v>1000</v>
      </c>
      <c r="F15" s="6"/>
      <c r="G15" s="6"/>
      <c r="H15" s="25">
        <f t="shared" si="0"/>
        <v>1000</v>
      </c>
    </row>
    <row r="16" spans="2:33" ht="19.2" customHeight="1" thickBot="1" x14ac:dyDescent="0.35">
      <c r="B16" s="145"/>
      <c r="C16" s="131" t="s">
        <v>32</v>
      </c>
      <c r="D16" s="129" t="s">
        <v>68</v>
      </c>
      <c r="E16" s="6">
        <f>18.5*220</f>
        <v>4070</v>
      </c>
      <c r="F16" s="6">
        <f>18.5*140</f>
        <v>2590</v>
      </c>
      <c r="G16" s="6"/>
      <c r="H16" s="25">
        <f t="shared" si="0"/>
        <v>1480</v>
      </c>
    </row>
    <row r="17" spans="2:8" ht="19.2" customHeight="1" thickBot="1" x14ac:dyDescent="0.35">
      <c r="B17" s="145"/>
      <c r="C17" s="131" t="s">
        <v>32</v>
      </c>
      <c r="D17" s="129" t="s">
        <v>71</v>
      </c>
      <c r="E17" s="6">
        <f>16*320</f>
        <v>5120</v>
      </c>
      <c r="F17" s="6">
        <f>16*200</f>
        <v>3200</v>
      </c>
      <c r="G17" s="6"/>
      <c r="H17" s="25">
        <f t="shared" si="0"/>
        <v>1920</v>
      </c>
    </row>
    <row r="18" spans="2:8" ht="16.2" customHeight="1" thickBot="1" x14ac:dyDescent="0.35">
      <c r="B18" s="145"/>
      <c r="C18" s="131" t="s">
        <v>32</v>
      </c>
      <c r="D18" s="129" t="s">
        <v>72</v>
      </c>
      <c r="E18" s="6">
        <f>20*290</f>
        <v>5800</v>
      </c>
      <c r="F18" s="6">
        <f>20*200</f>
        <v>4000</v>
      </c>
      <c r="G18" s="6"/>
      <c r="H18" s="25">
        <f t="shared" ref="H18:H26" si="1">E18-(F18+G18)</f>
        <v>1800</v>
      </c>
    </row>
    <row r="19" spans="2:8" ht="16.2" customHeight="1" thickBot="1" x14ac:dyDescent="0.35">
      <c r="B19" s="145"/>
      <c r="C19" s="131" t="s">
        <v>32</v>
      </c>
      <c r="D19" s="129" t="s">
        <v>119</v>
      </c>
      <c r="E19" s="6">
        <f>18*460</f>
        <v>8280</v>
      </c>
      <c r="F19" s="6">
        <f>(1000*18)/H2</f>
        <v>5373.1343283582091</v>
      </c>
      <c r="G19" s="6"/>
      <c r="H19" s="25">
        <f t="shared" si="1"/>
        <v>2906.8656716417909</v>
      </c>
    </row>
    <row r="20" spans="2:8" ht="16.2" customHeight="1" thickBot="1" x14ac:dyDescent="0.35">
      <c r="B20" s="145"/>
      <c r="C20" s="131" t="s">
        <v>32</v>
      </c>
      <c r="D20" s="129" t="s">
        <v>30</v>
      </c>
      <c r="E20" s="6">
        <f>19*280</f>
        <v>5320</v>
      </c>
      <c r="F20" s="6">
        <f>19*200</f>
        <v>3800</v>
      </c>
      <c r="G20" s="6"/>
      <c r="H20" s="25">
        <f t="shared" si="1"/>
        <v>1520</v>
      </c>
    </row>
    <row r="21" spans="2:8" ht="16.2" customHeight="1" thickBot="1" x14ac:dyDescent="0.35">
      <c r="B21" s="145"/>
      <c r="C21" s="131" t="s">
        <v>32</v>
      </c>
      <c r="D21" s="129" t="s">
        <v>67</v>
      </c>
      <c r="E21" s="6">
        <f>(1500+5000)/H2</f>
        <v>1940.2985074626865</v>
      </c>
      <c r="F21" s="6"/>
      <c r="G21" s="6"/>
      <c r="H21" s="25">
        <f t="shared" si="1"/>
        <v>1940.2985074626865</v>
      </c>
    </row>
    <row r="22" spans="2:8" ht="16.2" customHeight="1" thickBot="1" x14ac:dyDescent="0.35">
      <c r="B22" s="145"/>
      <c r="C22" s="131" t="s">
        <v>32</v>
      </c>
      <c r="D22" s="129" t="s">
        <v>77</v>
      </c>
      <c r="E22" s="6">
        <f>17*290</f>
        <v>4930</v>
      </c>
      <c r="F22" s="6">
        <f>17*160</f>
        <v>2720</v>
      </c>
      <c r="G22" s="6"/>
      <c r="H22" s="25">
        <f t="shared" si="1"/>
        <v>2210</v>
      </c>
    </row>
    <row r="23" spans="2:8" ht="16.2" customHeight="1" thickBot="1" x14ac:dyDescent="0.35">
      <c r="B23" s="145"/>
      <c r="C23" s="131" t="s">
        <v>32</v>
      </c>
      <c r="D23" s="129" t="s">
        <v>126</v>
      </c>
      <c r="E23" s="6">
        <f>15*260</f>
        <v>3900</v>
      </c>
      <c r="F23" s="6">
        <f>180*15</f>
        <v>2700</v>
      </c>
      <c r="G23" s="6"/>
      <c r="H23" s="25">
        <f>E23-(F23+G23)</f>
        <v>1200</v>
      </c>
    </row>
    <row r="24" spans="2:8" ht="16.2" customHeight="1" thickBot="1" x14ac:dyDescent="0.35">
      <c r="B24" s="145"/>
      <c r="C24" s="131" t="s">
        <v>32</v>
      </c>
      <c r="D24" s="129" t="s">
        <v>123</v>
      </c>
      <c r="E24" s="6">
        <f>20*50</f>
        <v>1000</v>
      </c>
      <c r="F24" s="6"/>
      <c r="G24" s="6"/>
      <c r="H24" s="25">
        <f>E24-(F24+G24)</f>
        <v>1000</v>
      </c>
    </row>
    <row r="25" spans="2:8" ht="16.2" customHeight="1" thickBot="1" x14ac:dyDescent="0.35">
      <c r="B25" s="145"/>
      <c r="C25" s="131" t="s">
        <v>32</v>
      </c>
      <c r="D25" s="129" t="s">
        <v>124</v>
      </c>
      <c r="E25" s="6">
        <f>1*50</f>
        <v>50</v>
      </c>
      <c r="F25" s="6"/>
      <c r="G25" s="6"/>
      <c r="H25" s="25">
        <f t="shared" si="1"/>
        <v>50</v>
      </c>
    </row>
    <row r="26" spans="2:8" ht="16.2" customHeight="1" thickBot="1" x14ac:dyDescent="0.35">
      <c r="B26" s="145"/>
      <c r="C26" s="131" t="s">
        <v>32</v>
      </c>
      <c r="D26" s="129" t="s">
        <v>125</v>
      </c>
      <c r="E26" s="6">
        <f>5*290</f>
        <v>1450</v>
      </c>
      <c r="F26" s="6">
        <f>(5*600)/H2</f>
        <v>895.52238805970148</v>
      </c>
      <c r="G26" s="6"/>
      <c r="H26" s="25">
        <f t="shared" si="1"/>
        <v>554.47761194029852</v>
      </c>
    </row>
    <row r="27" spans="2:8" ht="16.2" customHeight="1" thickBot="1" x14ac:dyDescent="0.35">
      <c r="B27" s="127"/>
      <c r="C27" s="131" t="s">
        <v>32</v>
      </c>
      <c r="D27" s="129" t="s">
        <v>127</v>
      </c>
      <c r="E27" s="132">
        <f>12000+12000+11600</f>
        <v>35600</v>
      </c>
      <c r="F27" s="132"/>
      <c r="G27" s="132"/>
      <c r="H27" s="133">
        <f>E27-(F27+G27)</f>
        <v>35600</v>
      </c>
    </row>
    <row r="28" spans="2:8" ht="15.6" x14ac:dyDescent="0.3">
      <c r="D28" s="5" t="s">
        <v>134</v>
      </c>
      <c r="E28" s="136">
        <f>SUM(E13:E27)</f>
        <v>86020.298507462692</v>
      </c>
      <c r="F28" s="136">
        <f>SUM(F13:F27)</f>
        <v>29078.656716417911</v>
      </c>
      <c r="G28" s="5" t="s">
        <v>62</v>
      </c>
      <c r="H28" s="50">
        <f>SUM(H13:H27)</f>
        <v>55988.013134328357</v>
      </c>
    </row>
    <row r="29" spans="2:8" ht="15" thickBot="1" x14ac:dyDescent="0.35"/>
    <row r="30" spans="2:8" ht="15.6" x14ac:dyDescent="0.3">
      <c r="G30" s="5" t="s">
        <v>6</v>
      </c>
      <c r="H30" s="57">
        <f>H11+H28</f>
        <v>68807.822089552239</v>
      </c>
    </row>
  </sheetData>
  <mergeCells count="2">
    <mergeCell ref="B14:B26"/>
    <mergeCell ref="B6:B10"/>
  </mergeCells>
  <conditionalFormatting sqref="H30 E18:E27 E5:E10">
    <cfRule type="cellIs" dxfId="383" priority="71" operator="lessThan">
      <formula>0</formula>
    </cfRule>
    <cfRule type="cellIs" dxfId="382" priority="72" operator="greaterThanOrEqual">
      <formula>0</formula>
    </cfRule>
  </conditionalFormatting>
  <conditionalFormatting sqref="H13:H27 H5:H10">
    <cfRule type="cellIs" dxfId="381" priority="47" operator="lessThan">
      <formula>0</formula>
    </cfRule>
    <cfRule type="cellIs" dxfId="380" priority="48" operator="greaterThan">
      <formula>0</formula>
    </cfRule>
  </conditionalFormatting>
  <conditionalFormatting sqref="F18:G27 F5:G10">
    <cfRule type="cellIs" dxfId="379" priority="29" operator="greaterThanOrEqual">
      <formula>0</formula>
    </cfRule>
    <cfRule type="cellIs" dxfId="378" priority="30" operator="lessThanOrEqual">
      <formula>0</formula>
    </cfRule>
  </conditionalFormatting>
  <conditionalFormatting sqref="E13:E15">
    <cfRule type="cellIs" dxfId="377" priority="21" operator="lessThan">
      <formula>0</formula>
    </cfRule>
    <cfRule type="cellIs" dxfId="376" priority="22" operator="greaterThanOrEqual">
      <formula>0</formula>
    </cfRule>
  </conditionalFormatting>
  <conditionalFormatting sqref="F13:G15">
    <cfRule type="cellIs" dxfId="375" priority="23" operator="greaterThanOrEqual">
      <formula>0</formula>
    </cfRule>
    <cfRule type="cellIs" dxfId="374" priority="24" operator="lessThanOrEqual">
      <formula>0</formula>
    </cfRule>
  </conditionalFormatting>
  <conditionalFormatting sqref="E16">
    <cfRule type="cellIs" dxfId="373" priority="11" operator="lessThan">
      <formula>0</formula>
    </cfRule>
    <cfRule type="cellIs" dxfId="372" priority="12" operator="greaterThanOrEqual">
      <formula>0</formula>
    </cfRule>
  </conditionalFormatting>
  <conditionalFormatting sqref="F16:G16">
    <cfRule type="cellIs" dxfId="371" priority="13" operator="greaterThanOrEqual">
      <formula>0</formula>
    </cfRule>
    <cfRule type="cellIs" dxfId="370" priority="14" operator="lessThanOrEqual">
      <formula>0</formula>
    </cfRule>
  </conditionalFormatting>
  <conditionalFormatting sqref="E17">
    <cfRule type="cellIs" dxfId="369" priority="5" operator="lessThan">
      <formula>0</formula>
    </cfRule>
    <cfRule type="cellIs" dxfId="368" priority="6" operator="greaterThanOrEqual">
      <formula>0</formula>
    </cfRule>
  </conditionalFormatting>
  <conditionalFormatting sqref="F17:G17">
    <cfRule type="cellIs" dxfId="367" priority="7" operator="greaterThanOrEqual">
      <formula>0</formula>
    </cfRule>
    <cfRule type="cellIs" dxfId="366" priority="8" operator="lessThanOrEqual">
      <formula>0</formula>
    </cfRule>
  </conditionalFormatting>
  <conditionalFormatting sqref="H11">
    <cfRule type="cellIs" dxfId="365" priority="3" operator="lessThan">
      <formula>0</formula>
    </cfRule>
    <cfRule type="cellIs" dxfId="364" priority="4" operator="greaterThan">
      <formula>0</formula>
    </cfRule>
  </conditionalFormatting>
  <conditionalFormatting sqref="H28">
    <cfRule type="cellIs" dxfId="363" priority="1" operator="lessThan">
      <formula>0</formula>
    </cfRule>
    <cfRule type="cellIs" dxfId="362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topLeftCell="A6" zoomScale="83" zoomScaleNormal="83" workbookViewId="0">
      <selection activeCell="E13" sqref="E13"/>
    </sheetView>
  </sheetViews>
  <sheetFormatPr baseColWidth="10" defaultRowHeight="14.4" x14ac:dyDescent="0.3"/>
  <cols>
    <col min="2" max="2" width="25.88671875" bestFit="1" customWidth="1"/>
    <col min="3" max="3" width="12.33203125" bestFit="1" customWidth="1"/>
    <col min="4" max="4" width="31.21875" bestFit="1" customWidth="1"/>
    <col min="5" max="5" width="21.77734375" bestFit="1" customWidth="1"/>
    <col min="6" max="6" width="25.6640625" bestFit="1" customWidth="1"/>
    <col min="7" max="7" width="23.33203125" bestFit="1" customWidth="1"/>
    <col min="8" max="8" width="15.218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2:8" x14ac:dyDescent="0.3">
      <c r="G2" s="56" t="s">
        <v>24</v>
      </c>
      <c r="H2" s="56">
        <v>3.35</v>
      </c>
    </row>
    <row r="3" spans="2:8" ht="15" thickBot="1" x14ac:dyDescent="0.35"/>
    <row r="4" spans="2:8" ht="16.2" thickBot="1" x14ac:dyDescent="0.35">
      <c r="C4" s="23" t="s">
        <v>59</v>
      </c>
      <c r="D4" s="3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2:8" ht="22.8" customHeight="1" thickBot="1" x14ac:dyDescent="0.35">
      <c r="B5" s="58" t="s">
        <v>1</v>
      </c>
      <c r="C5" s="82" t="s">
        <v>33</v>
      </c>
      <c r="D5" s="129" t="s">
        <v>20</v>
      </c>
      <c r="E5" s="6">
        <v>3840</v>
      </c>
      <c r="F5" s="6"/>
      <c r="G5" s="6">
        <f>(3504+1269.493+16.771)/H2</f>
        <v>1429.9295522388061</v>
      </c>
      <c r="H5" s="25">
        <f>Tableau6[[#This Row],[facturation client HT]]-(Tableau6[[#This Row],[facturation Fournisseur HT]]+Tableau6[[#This Row],[ Salaire NET]])</f>
        <v>2410.0704477611939</v>
      </c>
    </row>
    <row r="6" spans="2:8" ht="16.2" customHeight="1" thickBot="1" x14ac:dyDescent="0.35">
      <c r="B6" s="143" t="s">
        <v>2</v>
      </c>
      <c r="C6" s="82" t="s">
        <v>33</v>
      </c>
      <c r="D6" s="129" t="s">
        <v>121</v>
      </c>
      <c r="E6" s="6">
        <f>19*270</f>
        <v>5130</v>
      </c>
      <c r="F6" s="6">
        <f>155*19</f>
        <v>2945</v>
      </c>
      <c r="G6" s="6"/>
      <c r="H6" s="25">
        <f>Tableau6[[#This Row],[facturation client HT]]-(Tableau6[[#This Row],[facturation Fournisseur HT]]+Tableau6[[#This Row],[ Salaire NET]])</f>
        <v>2185</v>
      </c>
    </row>
    <row r="7" spans="2:8" ht="16.2" customHeight="1" thickBot="1" x14ac:dyDescent="0.35">
      <c r="B7" s="144"/>
      <c r="C7" s="82" t="s">
        <v>33</v>
      </c>
      <c r="D7" s="130" t="s">
        <v>22</v>
      </c>
      <c r="E7" s="6">
        <v>5130</v>
      </c>
      <c r="F7" s="6">
        <f>19*160</f>
        <v>3040</v>
      </c>
      <c r="G7" s="6"/>
      <c r="H7" s="25">
        <f>Tableau6[[#This Row],[facturation client HT]]-(Tableau6[[#This Row],[facturation Fournisseur HT]]+Tableau6[[#This Row],[ Salaire NET]])</f>
        <v>2090</v>
      </c>
    </row>
    <row r="8" spans="2:8" ht="16.2" customHeight="1" thickBot="1" x14ac:dyDescent="0.35">
      <c r="B8" s="144"/>
      <c r="C8" s="82" t="s">
        <v>33</v>
      </c>
      <c r="D8" s="130" t="s">
        <v>28</v>
      </c>
      <c r="E8" s="6">
        <v>4320</v>
      </c>
      <c r="F8" s="6"/>
      <c r="G8" s="6"/>
      <c r="H8" s="25">
        <f>Tableau6[[#This Row],[facturation client HT]]-(Tableau6[[#This Row],[facturation Fournisseur HT]]+Tableau6[[#This Row],[ Salaire NET]])</f>
        <v>4320</v>
      </c>
    </row>
    <row r="9" spans="2:8" ht="16.2" customHeight="1" thickBot="1" x14ac:dyDescent="0.35">
      <c r="B9" s="144"/>
      <c r="C9" s="82" t="s">
        <v>33</v>
      </c>
      <c r="D9" s="129" t="s">
        <v>25</v>
      </c>
      <c r="E9" s="6">
        <v>900</v>
      </c>
      <c r="F9" s="6">
        <f>5*140</f>
        <v>700</v>
      </c>
      <c r="G9" s="6"/>
      <c r="H9" s="25">
        <f>Tableau6[[#This Row],[facturation client HT]]-(Tableau6[[#This Row],[facturation Fournisseur HT]]+Tableau6[[#This Row],[ Salaire NET]])</f>
        <v>200</v>
      </c>
    </row>
    <row r="10" spans="2:8" ht="16.2" customHeight="1" thickBot="1" x14ac:dyDescent="0.35">
      <c r="B10" s="144"/>
      <c r="C10" s="82" t="s">
        <v>33</v>
      </c>
      <c r="D10" s="129" t="s">
        <v>70</v>
      </c>
      <c r="E10" s="6">
        <v>4760</v>
      </c>
      <c r="F10" s="6">
        <f>17*200</f>
        <v>3400</v>
      </c>
      <c r="G10" s="6"/>
      <c r="H10" s="25">
        <f>Tableau6[[#This Row],[facturation client HT]]-(Tableau6[[#This Row],[facturation Fournisseur HT]]+Tableau6[[#This Row],[ Salaire NET]])</f>
        <v>1360</v>
      </c>
    </row>
    <row r="11" spans="2:8" ht="16.2" customHeight="1" x14ac:dyDescent="0.3">
      <c r="D11" s="5" t="s">
        <v>134</v>
      </c>
      <c r="E11" s="136">
        <f>SUM(E5:E10)</f>
        <v>24080</v>
      </c>
      <c r="F11" s="136">
        <f>SUM(F5:F10)</f>
        <v>10085</v>
      </c>
      <c r="G11" s="5" t="s">
        <v>61</v>
      </c>
      <c r="H11" s="25">
        <f>SUM(H5:H10)</f>
        <v>12565.070447761194</v>
      </c>
    </row>
    <row r="12" spans="2:8" ht="16.2" customHeight="1" thickBot="1" x14ac:dyDescent="0.35"/>
    <row r="13" spans="2:8" ht="31.8" customHeight="1" thickBot="1" x14ac:dyDescent="0.35">
      <c r="B13" s="58" t="s">
        <v>1</v>
      </c>
      <c r="C13" s="81" t="s">
        <v>32</v>
      </c>
      <c r="D13" s="129" t="s">
        <v>122</v>
      </c>
      <c r="E13" s="6">
        <f>19*240</f>
        <v>4560</v>
      </c>
      <c r="F13" s="6"/>
      <c r="G13" s="6">
        <f>(2750+828.953+12.982)/H2</f>
        <v>1072.2194029850746</v>
      </c>
      <c r="H13" s="25">
        <f>E13-(F13+G13)</f>
        <v>3487.7805970149257</v>
      </c>
    </row>
    <row r="14" spans="2:8" ht="16.2" customHeight="1" thickBot="1" x14ac:dyDescent="0.35">
      <c r="B14" s="145" t="s">
        <v>2</v>
      </c>
      <c r="C14" s="81" t="s">
        <v>32</v>
      </c>
      <c r="D14" s="129" t="s">
        <v>27</v>
      </c>
      <c r="E14" s="6">
        <f>17*270</f>
        <v>4590</v>
      </c>
      <c r="F14" s="6">
        <f>(17*170)+(17*20)</f>
        <v>3230</v>
      </c>
      <c r="G14" s="6"/>
      <c r="H14" s="25">
        <f>E14-(F14+G14)</f>
        <v>1360</v>
      </c>
    </row>
    <row r="15" spans="2:8" ht="16.2" customHeight="1" thickBot="1" x14ac:dyDescent="0.35">
      <c r="B15" s="145"/>
      <c r="C15" s="81" t="s">
        <v>32</v>
      </c>
      <c r="D15" s="129" t="s">
        <v>23</v>
      </c>
      <c r="E15" s="6">
        <f>14*50</f>
        <v>700</v>
      </c>
      <c r="F15" s="6"/>
      <c r="G15" s="6"/>
      <c r="H15" s="25">
        <f>E15-(F15+G15)</f>
        <v>700</v>
      </c>
    </row>
    <row r="16" spans="2:8" ht="16.2" customHeight="1" thickBot="1" x14ac:dyDescent="0.35">
      <c r="B16" s="145"/>
      <c r="C16" s="81" t="s">
        <v>32</v>
      </c>
      <c r="D16" s="129" t="s">
        <v>68</v>
      </c>
      <c r="E16" s="6">
        <f>16*220</f>
        <v>3520</v>
      </c>
      <c r="F16" s="6">
        <f>16*140</f>
        <v>2240</v>
      </c>
      <c r="G16" s="6"/>
      <c r="H16" s="25">
        <f>E16-(F16+G16)</f>
        <v>1280</v>
      </c>
    </row>
    <row r="17" spans="2:8" ht="16.2" customHeight="1" thickBot="1" x14ac:dyDescent="0.35">
      <c r="B17" s="145"/>
      <c r="C17" s="81" t="s">
        <v>32</v>
      </c>
      <c r="D17" s="129" t="s">
        <v>71</v>
      </c>
      <c r="E17" s="134">
        <f>19*320</f>
        <v>6080</v>
      </c>
      <c r="F17" s="134">
        <f>19*200</f>
        <v>3800</v>
      </c>
      <c r="G17" s="134"/>
      <c r="H17" s="135">
        <f t="shared" ref="H17:H27" si="0">E17-(F17+G17)</f>
        <v>2280</v>
      </c>
    </row>
    <row r="18" spans="2:8" ht="16.2" customHeight="1" thickBot="1" x14ac:dyDescent="0.35">
      <c r="B18" s="145"/>
      <c r="C18" s="81" t="s">
        <v>32</v>
      </c>
      <c r="D18" s="129" t="s">
        <v>72</v>
      </c>
      <c r="E18" s="134">
        <f>18*290</f>
        <v>5220</v>
      </c>
      <c r="F18" s="134">
        <f>18*200</f>
        <v>3600</v>
      </c>
      <c r="G18" s="134"/>
      <c r="H18" s="135">
        <f t="shared" si="0"/>
        <v>1620</v>
      </c>
    </row>
    <row r="19" spans="2:8" ht="16.2" customHeight="1" thickBot="1" x14ac:dyDescent="0.35">
      <c r="B19" s="145"/>
      <c r="C19" s="81" t="s">
        <v>32</v>
      </c>
      <c r="D19" s="129" t="s">
        <v>119</v>
      </c>
      <c r="E19" s="134">
        <f>21*460</f>
        <v>9660</v>
      </c>
      <c r="F19" s="134">
        <f>(21*1000)/H2</f>
        <v>6268.6567164179105</v>
      </c>
      <c r="G19" s="134"/>
      <c r="H19" s="135">
        <f t="shared" si="0"/>
        <v>3391.3432835820895</v>
      </c>
    </row>
    <row r="20" spans="2:8" ht="16.2" customHeight="1" thickBot="1" x14ac:dyDescent="0.35">
      <c r="B20" s="145"/>
      <c r="C20" s="81" t="s">
        <v>32</v>
      </c>
      <c r="D20" s="129" t="s">
        <v>30</v>
      </c>
      <c r="E20" s="134">
        <f>20.5*280</f>
        <v>5740</v>
      </c>
      <c r="F20" s="134">
        <f>20.5*200</f>
        <v>4100</v>
      </c>
      <c r="G20" s="134"/>
      <c r="H20" s="135">
        <f t="shared" si="0"/>
        <v>1640</v>
      </c>
    </row>
    <row r="21" spans="2:8" ht="16.2" customHeight="1" thickBot="1" x14ac:dyDescent="0.35">
      <c r="B21" s="145"/>
      <c r="C21" s="81" t="s">
        <v>32</v>
      </c>
      <c r="D21" s="129" t="s">
        <v>67</v>
      </c>
      <c r="E21" s="134">
        <f>(1500+5000)/H2</f>
        <v>1940.2985074626865</v>
      </c>
      <c r="F21" s="134"/>
      <c r="G21" s="134"/>
      <c r="H21" s="135">
        <f t="shared" si="0"/>
        <v>1940.2985074626865</v>
      </c>
    </row>
    <row r="22" spans="2:8" ht="16.2" customHeight="1" thickBot="1" x14ac:dyDescent="0.35">
      <c r="B22" s="145"/>
      <c r="C22" s="81" t="s">
        <v>32</v>
      </c>
      <c r="D22" s="129" t="s">
        <v>77</v>
      </c>
      <c r="E22" s="134">
        <f>21*290</f>
        <v>6090</v>
      </c>
      <c r="F22" s="134">
        <f>21*160</f>
        <v>3360</v>
      </c>
      <c r="G22" s="134"/>
      <c r="H22" s="135">
        <f t="shared" si="0"/>
        <v>2730</v>
      </c>
    </row>
    <row r="23" spans="2:8" ht="16.2" customHeight="1" thickBot="1" x14ac:dyDescent="0.35">
      <c r="B23" s="145"/>
      <c r="C23" s="81" t="s">
        <v>32</v>
      </c>
      <c r="D23" s="129" t="s">
        <v>126</v>
      </c>
      <c r="E23" s="134">
        <f>20*260</f>
        <v>5200</v>
      </c>
      <c r="F23" s="134">
        <f>20*180</f>
        <v>3600</v>
      </c>
      <c r="G23" s="134"/>
      <c r="H23" s="135">
        <f t="shared" si="0"/>
        <v>1600</v>
      </c>
    </row>
    <row r="24" spans="2:8" ht="16.2" customHeight="1" thickBot="1" x14ac:dyDescent="0.35">
      <c r="B24" s="145"/>
      <c r="C24" s="81" t="s">
        <v>32</v>
      </c>
      <c r="D24" s="129" t="s">
        <v>123</v>
      </c>
      <c r="E24" s="134">
        <f>19*50</f>
        <v>950</v>
      </c>
      <c r="F24" s="134"/>
      <c r="G24" s="134"/>
      <c r="H24" s="135">
        <f t="shared" si="0"/>
        <v>950</v>
      </c>
    </row>
    <row r="25" spans="2:8" ht="16.2" customHeight="1" thickBot="1" x14ac:dyDescent="0.35">
      <c r="B25" s="145"/>
      <c r="C25" s="81" t="s">
        <v>32</v>
      </c>
      <c r="D25" s="129" t="s">
        <v>124</v>
      </c>
      <c r="E25" s="134">
        <f>21*50</f>
        <v>1050</v>
      </c>
      <c r="F25" s="134"/>
      <c r="G25" s="134"/>
      <c r="H25" s="135">
        <f t="shared" si="0"/>
        <v>1050</v>
      </c>
    </row>
    <row r="26" spans="2:8" ht="16.2" customHeight="1" thickBot="1" x14ac:dyDescent="0.35">
      <c r="B26" s="145"/>
      <c r="C26" s="81" t="s">
        <v>32</v>
      </c>
      <c r="D26" s="129" t="s">
        <v>125</v>
      </c>
      <c r="E26" s="134">
        <f>16*290</f>
        <v>4640</v>
      </c>
      <c r="F26" s="134">
        <f>(6*600)/H2</f>
        <v>1074.6268656716418</v>
      </c>
      <c r="G26" s="134"/>
      <c r="H26" s="135">
        <f t="shared" si="0"/>
        <v>3565.373134328358</v>
      </c>
    </row>
    <row r="27" spans="2:8" ht="16.2" customHeight="1" thickBot="1" x14ac:dyDescent="0.35">
      <c r="B27" s="145"/>
      <c r="C27" s="81" t="s">
        <v>32</v>
      </c>
      <c r="D27" s="129" t="s">
        <v>127</v>
      </c>
      <c r="E27" s="134">
        <v>37380</v>
      </c>
      <c r="F27" s="134"/>
      <c r="G27" s="134"/>
      <c r="H27" s="135">
        <f t="shared" si="0"/>
        <v>37380</v>
      </c>
    </row>
    <row r="28" spans="2:8" ht="15.6" customHeight="1" thickBot="1" x14ac:dyDescent="0.35">
      <c r="B28" s="145"/>
      <c r="C28" s="81" t="s">
        <v>32</v>
      </c>
      <c r="D28" s="129" t="s">
        <v>128</v>
      </c>
      <c r="E28" s="134">
        <f>9*270</f>
        <v>2430</v>
      </c>
      <c r="F28" s="134">
        <f>(9*620)/H2</f>
        <v>1665.6716417910447</v>
      </c>
      <c r="G28" s="134"/>
      <c r="H28" s="135">
        <f>E28-(F28+G28)</f>
        <v>764.32835820895525</v>
      </c>
    </row>
    <row r="29" spans="2:8" ht="16.2" customHeight="1" thickBot="1" x14ac:dyDescent="0.35">
      <c r="B29" s="145"/>
      <c r="C29" s="81" t="s">
        <v>32</v>
      </c>
      <c r="D29" s="129" t="s">
        <v>129</v>
      </c>
      <c r="E29" s="134">
        <f>11*260</f>
        <v>2860</v>
      </c>
      <c r="F29" s="134">
        <f>(11*500)/H2</f>
        <v>1641.7910447761194</v>
      </c>
      <c r="G29" s="134"/>
      <c r="H29" s="135">
        <f>E29-(F29+G29)</f>
        <v>1218.2089552238806</v>
      </c>
    </row>
    <row r="30" spans="2:8" ht="16.2" thickBot="1" x14ac:dyDescent="0.35">
      <c r="B30" s="145"/>
      <c r="C30" s="81" t="s">
        <v>32</v>
      </c>
      <c r="D30" s="129" t="s">
        <v>130</v>
      </c>
      <c r="E30" s="134">
        <f>12*280</f>
        <v>3360</v>
      </c>
      <c r="F30" s="134">
        <f>12*150</f>
        <v>1800</v>
      </c>
      <c r="G30" s="134"/>
      <c r="H30" s="135">
        <f>E30-(F30+G30)</f>
        <v>1560</v>
      </c>
    </row>
    <row r="31" spans="2:8" ht="15.6" x14ac:dyDescent="0.3">
      <c r="D31" s="5" t="s">
        <v>134</v>
      </c>
      <c r="E31" s="136">
        <f>SUM(E13:E30)</f>
        <v>105970.29850746269</v>
      </c>
      <c r="F31" s="136">
        <f>SUM(F13:F30)</f>
        <v>36380.746268656716</v>
      </c>
      <c r="G31" s="5" t="s">
        <v>62</v>
      </c>
      <c r="H31" s="50">
        <f>SUM(H13:H30)</f>
        <v>68517.332835820882</v>
      </c>
    </row>
    <row r="32" spans="2:8" ht="15" thickBot="1" x14ac:dyDescent="0.35"/>
    <row r="33" spans="7:8" ht="15.6" x14ac:dyDescent="0.3">
      <c r="G33" s="22" t="s">
        <v>6</v>
      </c>
      <c r="H33" s="57">
        <f>H11+H31</f>
        <v>81082.403283582069</v>
      </c>
    </row>
  </sheetData>
  <mergeCells count="2">
    <mergeCell ref="B6:B10"/>
    <mergeCell ref="B14:B30"/>
  </mergeCells>
  <conditionalFormatting sqref="H5:H10 H17:H30">
    <cfRule type="cellIs" dxfId="353" priority="61" operator="lessThan">
      <formula>0</formula>
    </cfRule>
    <cfRule type="cellIs" dxfId="352" priority="62" operator="greaterThan">
      <formula>0</formula>
    </cfRule>
  </conditionalFormatting>
  <conditionalFormatting sqref="E5:E10 E17:E30">
    <cfRule type="cellIs" dxfId="351" priority="51" operator="lessThan">
      <formula>0</formula>
    </cfRule>
    <cfRule type="cellIs" dxfId="350" priority="52" operator="greaterThanOrEqual">
      <formula>0</formula>
    </cfRule>
  </conditionalFormatting>
  <conditionalFormatting sqref="G5:G10 F17:G30">
    <cfRule type="cellIs" dxfId="349" priority="39" operator="greaterThanOrEqual">
      <formula>0</formula>
    </cfRule>
    <cfRule type="cellIs" dxfId="348" priority="40" operator="lessThanOrEqual">
      <formula>0</formula>
    </cfRule>
  </conditionalFormatting>
  <conditionalFormatting sqref="F5:F10">
    <cfRule type="cellIs" dxfId="347" priority="37" operator="greaterThanOrEqual">
      <formula>0</formula>
    </cfRule>
    <cfRule type="cellIs" dxfId="346" priority="38" operator="lessThanOrEqual">
      <formula>0</formula>
    </cfRule>
  </conditionalFormatting>
  <conditionalFormatting sqref="H13:H14">
    <cfRule type="cellIs" dxfId="345" priority="35" operator="lessThan">
      <formula>0</formula>
    </cfRule>
    <cfRule type="cellIs" dxfId="344" priority="36" operator="greaterThan">
      <formula>0</formula>
    </cfRule>
  </conditionalFormatting>
  <conditionalFormatting sqref="F13:G14">
    <cfRule type="cellIs" dxfId="343" priority="33" operator="greaterThanOrEqual">
      <formula>0</formula>
    </cfRule>
    <cfRule type="cellIs" dxfId="342" priority="34" operator="lessThanOrEqual">
      <formula>0</formula>
    </cfRule>
  </conditionalFormatting>
  <conditionalFormatting sqref="E13:E14">
    <cfRule type="cellIs" dxfId="341" priority="31" operator="lessThan">
      <formula>0</formula>
    </cfRule>
    <cfRule type="cellIs" dxfId="340" priority="32" operator="greaterThanOrEqual">
      <formula>0</formula>
    </cfRule>
  </conditionalFormatting>
  <conditionalFormatting sqref="H33">
    <cfRule type="cellIs" dxfId="339" priority="23" operator="lessThan">
      <formula>0</formula>
    </cfRule>
    <cfRule type="cellIs" dxfId="338" priority="24" operator="greaterThan">
      <formula>0</formula>
    </cfRule>
  </conditionalFormatting>
  <conditionalFormatting sqref="E15">
    <cfRule type="cellIs" dxfId="337" priority="11" operator="lessThan">
      <formula>0</formula>
    </cfRule>
    <cfRule type="cellIs" dxfId="336" priority="12" operator="greaterThanOrEqual">
      <formula>0</formula>
    </cfRule>
  </conditionalFormatting>
  <conditionalFormatting sqref="H15">
    <cfRule type="cellIs" dxfId="335" priority="15" operator="lessThan">
      <formula>0</formula>
    </cfRule>
    <cfRule type="cellIs" dxfId="334" priority="16" operator="greaterThan">
      <formula>0</formula>
    </cfRule>
  </conditionalFormatting>
  <conditionalFormatting sqref="F15:G15">
    <cfRule type="cellIs" dxfId="333" priority="13" operator="greaterThanOrEqual">
      <formula>0</formula>
    </cfRule>
    <cfRule type="cellIs" dxfId="332" priority="14" operator="lessThanOrEqual">
      <formula>0</formula>
    </cfRule>
  </conditionalFormatting>
  <conditionalFormatting sqref="E16">
    <cfRule type="cellIs" dxfId="331" priority="5" operator="lessThan">
      <formula>0</formula>
    </cfRule>
    <cfRule type="cellIs" dxfId="330" priority="6" operator="greaterThanOrEqual">
      <formula>0</formula>
    </cfRule>
  </conditionalFormatting>
  <conditionalFormatting sqref="H16">
    <cfRule type="cellIs" dxfId="329" priority="9" operator="lessThan">
      <formula>0</formula>
    </cfRule>
    <cfRule type="cellIs" dxfId="328" priority="10" operator="greaterThan">
      <formula>0</formula>
    </cfRule>
  </conditionalFormatting>
  <conditionalFormatting sqref="F16:G16">
    <cfRule type="cellIs" dxfId="327" priority="7" operator="greaterThanOrEqual">
      <formula>0</formula>
    </cfRule>
    <cfRule type="cellIs" dxfId="326" priority="8" operator="lessThanOrEqual">
      <formula>0</formula>
    </cfRule>
  </conditionalFormatting>
  <conditionalFormatting sqref="H11">
    <cfRule type="cellIs" dxfId="325" priority="3" operator="lessThan">
      <formula>0</formula>
    </cfRule>
    <cfRule type="cellIs" dxfId="324" priority="4" operator="greaterThan">
      <formula>0</formula>
    </cfRule>
  </conditionalFormatting>
  <conditionalFormatting sqref="H31">
    <cfRule type="cellIs" dxfId="323" priority="1" operator="lessThan">
      <formula>0</formula>
    </cfRule>
    <cfRule type="cellIs" dxfId="322" priority="2" operator="greater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6"/>
  <sheetViews>
    <sheetView topLeftCell="C8" zoomScale="90" zoomScaleNormal="90" workbookViewId="0">
      <selection activeCell="F33" sqref="F33"/>
    </sheetView>
  </sheetViews>
  <sheetFormatPr baseColWidth="10" defaultRowHeight="14.4" x14ac:dyDescent="0.3"/>
  <cols>
    <col min="2" max="2" width="25.77734375" bestFit="1" customWidth="1"/>
    <col min="3" max="3" width="13.109375" bestFit="1" customWidth="1"/>
    <col min="4" max="4" width="31.5546875" bestFit="1" customWidth="1"/>
    <col min="5" max="5" width="22.5546875" bestFit="1" customWidth="1"/>
    <col min="6" max="6" width="26.21875" bestFit="1" customWidth="1"/>
    <col min="7" max="7" width="24.21875" bestFit="1" customWidth="1"/>
    <col min="8" max="8" width="20.1093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6" t="s">
        <v>24</v>
      </c>
      <c r="H2" s="56">
        <v>3.35</v>
      </c>
    </row>
    <row r="3" spans="2:41" ht="15" thickBot="1" x14ac:dyDescent="0.35"/>
    <row r="4" spans="2:41" ht="16.2" thickBot="1" x14ac:dyDescent="0.35">
      <c r="C4" s="23" t="s">
        <v>59</v>
      </c>
      <c r="D4" s="3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2:41" ht="29.4" thickBot="1" x14ac:dyDescent="0.35">
      <c r="B5" s="15" t="s">
        <v>1</v>
      </c>
      <c r="C5" s="82" t="s">
        <v>34</v>
      </c>
      <c r="D5" s="129" t="s">
        <v>20</v>
      </c>
      <c r="E5" s="6">
        <f>20*240</f>
        <v>4800</v>
      </c>
      <c r="F5" s="6"/>
      <c r="G5" s="6">
        <f>(3354+1180.69+21.95)/H2</f>
        <v>1360.1910447761195</v>
      </c>
      <c r="H5" s="25">
        <f t="shared" ref="H5:H33" si="0">E5-(F5+G5)</f>
        <v>3439.8089552238807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2" thickBot="1" x14ac:dyDescent="0.35">
      <c r="B6" s="143" t="s">
        <v>2</v>
      </c>
      <c r="C6" s="82" t="s">
        <v>34</v>
      </c>
      <c r="D6" s="129" t="s">
        <v>121</v>
      </c>
      <c r="E6" s="6">
        <f>20*270</f>
        <v>5400</v>
      </c>
      <c r="F6" s="6">
        <f>20*155</f>
        <v>3100</v>
      </c>
      <c r="G6" s="6"/>
      <c r="H6" s="25">
        <f t="shared" si="0"/>
        <v>2300</v>
      </c>
    </row>
    <row r="7" spans="2:41" ht="16.2" thickBot="1" x14ac:dyDescent="0.35">
      <c r="B7" s="144"/>
      <c r="C7" s="82" t="s">
        <v>34</v>
      </c>
      <c r="D7" s="130" t="s">
        <v>22</v>
      </c>
      <c r="E7" s="6">
        <f>15*270</f>
        <v>4050</v>
      </c>
      <c r="F7" s="6">
        <f>15*160</f>
        <v>2400</v>
      </c>
      <c r="G7" s="6"/>
      <c r="H7" s="25">
        <f t="shared" si="0"/>
        <v>1650</v>
      </c>
    </row>
    <row r="8" spans="2:41" ht="16.2" thickBot="1" x14ac:dyDescent="0.35">
      <c r="B8" s="144"/>
      <c r="C8" s="82" t="s">
        <v>34</v>
      </c>
      <c r="D8" s="130" t="s">
        <v>28</v>
      </c>
      <c r="E8" s="12">
        <f>18*270</f>
        <v>4860</v>
      </c>
      <c r="F8" s="6"/>
      <c r="G8" s="6"/>
      <c r="H8" s="25">
        <f t="shared" si="0"/>
        <v>4860</v>
      </c>
    </row>
    <row r="9" spans="2:41" ht="16.2" thickBot="1" x14ac:dyDescent="0.35">
      <c r="B9" s="144"/>
      <c r="C9" s="82" t="s">
        <v>34</v>
      </c>
      <c r="D9" s="129" t="s">
        <v>70</v>
      </c>
      <c r="E9" s="12">
        <f>11*280</f>
        <v>3080</v>
      </c>
      <c r="F9" s="6">
        <f>11*200</f>
        <v>2200</v>
      </c>
      <c r="G9" s="6"/>
      <c r="H9" s="25">
        <f t="shared" si="0"/>
        <v>880</v>
      </c>
    </row>
    <row r="10" spans="2:41" ht="15.6" x14ac:dyDescent="0.3">
      <c r="D10" s="5" t="s">
        <v>134</v>
      </c>
      <c r="E10" s="136">
        <f>SUM(E5:E9)</f>
        <v>22190</v>
      </c>
      <c r="F10" s="136">
        <f>SUM(F5:F9)</f>
        <v>7700</v>
      </c>
      <c r="G10" s="5" t="s">
        <v>61</v>
      </c>
      <c r="H10" s="25">
        <f>SUM(H5:H9)</f>
        <v>13129.808955223882</v>
      </c>
    </row>
    <row r="11" spans="2:41" ht="15" thickBot="1" x14ac:dyDescent="0.35">
      <c r="C11" s="139"/>
      <c r="D11" s="2"/>
      <c r="E11" s="2"/>
      <c r="F11" s="2"/>
      <c r="G11" s="2"/>
      <c r="H11" s="2"/>
    </row>
    <row r="12" spans="2:41" ht="29.4" thickBot="1" x14ac:dyDescent="0.35">
      <c r="B12" s="140" t="s">
        <v>1</v>
      </c>
      <c r="C12" s="81" t="s">
        <v>32</v>
      </c>
      <c r="D12" s="129" t="s">
        <v>122</v>
      </c>
      <c r="E12" s="6">
        <f>240*18.5</f>
        <v>4440</v>
      </c>
      <c r="F12" s="6">
        <f>(18.5*50)/H2</f>
        <v>276.1194029850746</v>
      </c>
      <c r="G12" s="6">
        <f>(2600+750.568+12.228)/H2</f>
        <v>1003.8197014925373</v>
      </c>
      <c r="H12" s="25">
        <f t="shared" si="0"/>
        <v>3160.0608955223879</v>
      </c>
    </row>
    <row r="13" spans="2:41" ht="16.2" customHeight="1" thickBot="1" x14ac:dyDescent="0.35">
      <c r="B13" s="143" t="s">
        <v>2</v>
      </c>
      <c r="C13" s="81" t="s">
        <v>32</v>
      </c>
      <c r="D13" s="129" t="s">
        <v>27</v>
      </c>
      <c r="E13" s="6">
        <f>270*19.5</f>
        <v>5265</v>
      </c>
      <c r="F13" s="6">
        <f>(170*19.5)+(20*19.5)</f>
        <v>3705</v>
      </c>
      <c r="G13" s="6"/>
      <c r="H13" s="25">
        <f t="shared" si="0"/>
        <v>1560</v>
      </c>
    </row>
    <row r="14" spans="2:41" ht="16.2" customHeight="1" thickBot="1" x14ac:dyDescent="0.35">
      <c r="B14" s="144"/>
      <c r="C14" s="81" t="s">
        <v>32</v>
      </c>
      <c r="D14" s="129" t="s">
        <v>23</v>
      </c>
      <c r="E14" s="6">
        <f>20*50</f>
        <v>1000</v>
      </c>
      <c r="F14" s="6"/>
      <c r="G14" s="6"/>
      <c r="H14" s="25">
        <f t="shared" si="0"/>
        <v>1000</v>
      </c>
    </row>
    <row r="15" spans="2:41" ht="16.2" customHeight="1" thickBot="1" x14ac:dyDescent="0.35">
      <c r="B15" s="144"/>
      <c r="C15" s="81" t="s">
        <v>32</v>
      </c>
      <c r="D15" s="129" t="s">
        <v>68</v>
      </c>
      <c r="E15" s="6">
        <f>21*220</f>
        <v>4620</v>
      </c>
      <c r="F15" s="6">
        <f>21*140</f>
        <v>2940</v>
      </c>
      <c r="G15" s="6"/>
      <c r="H15" s="25">
        <f t="shared" si="0"/>
        <v>1680</v>
      </c>
    </row>
    <row r="16" spans="2:41" ht="16.2" thickBot="1" x14ac:dyDescent="0.35">
      <c r="B16" s="144"/>
      <c r="C16" s="81" t="s">
        <v>32</v>
      </c>
      <c r="D16" s="129" t="s">
        <v>71</v>
      </c>
      <c r="E16" s="6">
        <f>19*320</f>
        <v>6080</v>
      </c>
      <c r="F16" s="6">
        <f>19*200</f>
        <v>3800</v>
      </c>
      <c r="G16" s="6"/>
      <c r="H16" s="25">
        <f t="shared" si="0"/>
        <v>2280</v>
      </c>
    </row>
    <row r="17" spans="2:8" ht="16.2" thickBot="1" x14ac:dyDescent="0.35">
      <c r="B17" s="144"/>
      <c r="C17" s="81" t="s">
        <v>32</v>
      </c>
      <c r="D17" s="129" t="s">
        <v>72</v>
      </c>
      <c r="E17" s="6">
        <f>20*290</f>
        <v>5800</v>
      </c>
      <c r="F17" s="6">
        <f>20*200</f>
        <v>4000</v>
      </c>
      <c r="G17" s="6"/>
      <c r="H17" s="25">
        <f t="shared" si="0"/>
        <v>1800</v>
      </c>
    </row>
    <row r="18" spans="2:8" ht="16.2" thickBot="1" x14ac:dyDescent="0.35">
      <c r="B18" s="144"/>
      <c r="C18" s="81" t="s">
        <v>32</v>
      </c>
      <c r="D18" s="129" t="s">
        <v>119</v>
      </c>
      <c r="E18" s="6">
        <f>20.5*460</f>
        <v>9430</v>
      </c>
      <c r="F18" s="6">
        <f>(20.5*1000)/H2</f>
        <v>6119.4029850746265</v>
      </c>
      <c r="G18" s="6"/>
      <c r="H18" s="25">
        <f t="shared" si="0"/>
        <v>3310.5970149253735</v>
      </c>
    </row>
    <row r="19" spans="2:8" ht="16.2" thickBot="1" x14ac:dyDescent="0.35">
      <c r="B19" s="144"/>
      <c r="C19" s="81" t="s">
        <v>32</v>
      </c>
      <c r="D19" s="129" t="s">
        <v>30</v>
      </c>
      <c r="E19" s="6">
        <f>280*21</f>
        <v>5880</v>
      </c>
      <c r="F19" s="6">
        <f>21*200</f>
        <v>4200</v>
      </c>
      <c r="G19" s="6"/>
      <c r="H19" s="25">
        <f t="shared" si="0"/>
        <v>1680</v>
      </c>
    </row>
    <row r="20" spans="2:8" ht="16.2" thickBot="1" x14ac:dyDescent="0.35">
      <c r="B20" s="144"/>
      <c r="C20" s="81" t="s">
        <v>32</v>
      </c>
      <c r="D20" s="129" t="s">
        <v>67</v>
      </c>
      <c r="E20" s="6">
        <f>(1500+5000)/H2</f>
        <v>1940.2985074626865</v>
      </c>
      <c r="F20" s="6"/>
      <c r="G20" s="6"/>
      <c r="H20" s="25">
        <f t="shared" si="0"/>
        <v>1940.2985074626865</v>
      </c>
    </row>
    <row r="21" spans="2:8" ht="16.2" thickBot="1" x14ac:dyDescent="0.35">
      <c r="B21" s="144"/>
      <c r="C21" s="81" t="s">
        <v>32</v>
      </c>
      <c r="D21" s="129" t="s">
        <v>77</v>
      </c>
      <c r="E21" s="6">
        <f>21*340</f>
        <v>7140</v>
      </c>
      <c r="F21" s="6">
        <f>21*210</f>
        <v>4410</v>
      </c>
      <c r="G21" s="6"/>
      <c r="H21" s="25">
        <f t="shared" si="0"/>
        <v>2730</v>
      </c>
    </row>
    <row r="22" spans="2:8" ht="16.2" thickBot="1" x14ac:dyDescent="0.35">
      <c r="B22" s="144"/>
      <c r="C22" s="81" t="s">
        <v>32</v>
      </c>
      <c r="D22" s="129" t="s">
        <v>126</v>
      </c>
      <c r="E22" s="6">
        <f>17*260</f>
        <v>4420</v>
      </c>
      <c r="F22" s="6">
        <f>17*180</f>
        <v>3060</v>
      </c>
      <c r="G22" s="6"/>
      <c r="H22" s="25">
        <f t="shared" si="0"/>
        <v>1360</v>
      </c>
    </row>
    <row r="23" spans="2:8" ht="16.2" thickBot="1" x14ac:dyDescent="0.35">
      <c r="B23" s="144"/>
      <c r="C23" s="81" t="s">
        <v>32</v>
      </c>
      <c r="D23" s="129" t="s">
        <v>123</v>
      </c>
      <c r="E23" s="6">
        <f>20*50</f>
        <v>1000</v>
      </c>
      <c r="F23" s="6"/>
      <c r="G23" s="6"/>
      <c r="H23" s="25">
        <f t="shared" si="0"/>
        <v>1000</v>
      </c>
    </row>
    <row r="24" spans="2:8" ht="16.2" thickBot="1" x14ac:dyDescent="0.35">
      <c r="B24" s="144"/>
      <c r="C24" s="81" t="s">
        <v>32</v>
      </c>
      <c r="D24" s="129" t="s">
        <v>124</v>
      </c>
      <c r="E24" s="6">
        <f>20.5*50</f>
        <v>1025</v>
      </c>
      <c r="F24" s="6"/>
      <c r="G24" s="6"/>
      <c r="H24" s="25">
        <f t="shared" si="0"/>
        <v>1025</v>
      </c>
    </row>
    <row r="25" spans="2:8" ht="16.2" thickBot="1" x14ac:dyDescent="0.35">
      <c r="B25" s="144"/>
      <c r="C25" s="81" t="s">
        <v>32</v>
      </c>
      <c r="D25" s="129" t="s">
        <v>125</v>
      </c>
      <c r="E25" s="6">
        <f>16*290</f>
        <v>4640</v>
      </c>
      <c r="F25" s="6">
        <f>(16*600)/H2</f>
        <v>2865.6716417910447</v>
      </c>
      <c r="G25" s="6"/>
      <c r="H25" s="25">
        <f t="shared" si="0"/>
        <v>1774.3283582089553</v>
      </c>
    </row>
    <row r="26" spans="2:8" ht="16.2" thickBot="1" x14ac:dyDescent="0.35">
      <c r="B26" s="144"/>
      <c r="C26" s="81" t="s">
        <v>32</v>
      </c>
      <c r="D26" s="129" t="s">
        <v>127</v>
      </c>
      <c r="E26" s="6">
        <f>(12180+12600)</f>
        <v>24780</v>
      </c>
      <c r="F26" s="6"/>
      <c r="G26" s="6"/>
      <c r="H26" s="25">
        <f t="shared" si="0"/>
        <v>24780</v>
      </c>
    </row>
    <row r="27" spans="2:8" ht="16.2" thickBot="1" x14ac:dyDescent="0.35">
      <c r="B27" s="144"/>
      <c r="C27" s="81" t="s">
        <v>32</v>
      </c>
      <c r="D27" s="129" t="s">
        <v>128</v>
      </c>
      <c r="E27" s="6">
        <f>20*270</f>
        <v>5400</v>
      </c>
      <c r="F27" s="6">
        <f>(20*620)/H2</f>
        <v>3701.4925373134329</v>
      </c>
      <c r="G27" s="6"/>
      <c r="H27" s="25">
        <f t="shared" si="0"/>
        <v>1698.5074626865671</v>
      </c>
    </row>
    <row r="28" spans="2:8" ht="16.2" thickBot="1" x14ac:dyDescent="0.35">
      <c r="B28" s="144"/>
      <c r="C28" s="81" t="s">
        <v>32</v>
      </c>
      <c r="D28" s="129" t="s">
        <v>129</v>
      </c>
      <c r="E28" s="6">
        <f>21*260</f>
        <v>5460</v>
      </c>
      <c r="F28" s="6">
        <f>(21*500)/H2</f>
        <v>3134.3283582089553</v>
      </c>
      <c r="G28" s="6"/>
      <c r="H28" s="25">
        <f t="shared" si="0"/>
        <v>2325.6716417910447</v>
      </c>
    </row>
    <row r="29" spans="2:8" ht="16.2" thickBot="1" x14ac:dyDescent="0.35">
      <c r="B29" s="144"/>
      <c r="C29" s="81" t="s">
        <v>32</v>
      </c>
      <c r="D29" s="129" t="s">
        <v>130</v>
      </c>
      <c r="E29" s="141">
        <f>14*330</f>
        <v>4620</v>
      </c>
      <c r="F29" s="134">
        <f>14*200</f>
        <v>2800</v>
      </c>
      <c r="G29" s="134"/>
      <c r="H29" s="25">
        <f t="shared" si="0"/>
        <v>1820</v>
      </c>
    </row>
    <row r="30" spans="2:8" ht="16.2" thickBot="1" x14ac:dyDescent="0.35">
      <c r="B30" s="144"/>
      <c r="C30" s="81" t="s">
        <v>32</v>
      </c>
      <c r="D30" s="129" t="s">
        <v>70</v>
      </c>
      <c r="E30" s="141">
        <f>280*8</f>
        <v>2240</v>
      </c>
      <c r="F30" s="134">
        <f>(8*600)/H2</f>
        <v>1432.8358208955224</v>
      </c>
      <c r="G30" s="134"/>
      <c r="H30" s="25">
        <f t="shared" si="0"/>
        <v>807.16417910447763</v>
      </c>
    </row>
    <row r="31" spans="2:8" ht="16.2" thickBot="1" x14ac:dyDescent="0.35">
      <c r="B31" s="144"/>
      <c r="C31" s="81" t="s">
        <v>32</v>
      </c>
      <c r="D31" s="129" t="s">
        <v>144</v>
      </c>
      <c r="E31" s="141">
        <f>20*260</f>
        <v>5200</v>
      </c>
      <c r="F31" s="134">
        <f>20*200</f>
        <v>4000</v>
      </c>
      <c r="G31" s="134"/>
      <c r="H31" s="25">
        <f t="shared" si="0"/>
        <v>1200</v>
      </c>
    </row>
    <row r="32" spans="2:8" ht="16.2" thickBot="1" x14ac:dyDescent="0.35">
      <c r="B32" s="144"/>
      <c r="C32" s="81" t="s">
        <v>32</v>
      </c>
      <c r="D32" s="129" t="s">
        <v>145</v>
      </c>
      <c r="E32" s="141">
        <f>12*260</f>
        <v>3120</v>
      </c>
      <c r="F32" s="134">
        <f>(12*500)/H2</f>
        <v>1791.044776119403</v>
      </c>
      <c r="G32" s="134"/>
      <c r="H32" s="25">
        <f t="shared" si="0"/>
        <v>1328.955223880597</v>
      </c>
    </row>
    <row r="33" spans="2:30" ht="16.2" thickBot="1" x14ac:dyDescent="0.35">
      <c r="B33" s="147"/>
      <c r="C33" s="81" t="s">
        <v>32</v>
      </c>
      <c r="D33" s="129" t="s">
        <v>146</v>
      </c>
      <c r="E33" s="6">
        <f>13*250</f>
        <v>3250</v>
      </c>
      <c r="F33" s="6">
        <f>13*150</f>
        <v>1950</v>
      </c>
      <c r="G33" s="6"/>
      <c r="H33" s="25">
        <f t="shared" si="0"/>
        <v>1300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ht="15.6" x14ac:dyDescent="0.3">
      <c r="D34" s="5" t="s">
        <v>134</v>
      </c>
      <c r="E34" s="136">
        <f>SUM(E12:E33)</f>
        <v>116750.29850746269</v>
      </c>
      <c r="F34" s="136">
        <f>SUM(F12:F33)</f>
        <v>54185.895522388062</v>
      </c>
      <c r="G34" s="5" t="s">
        <v>62</v>
      </c>
      <c r="H34" s="50">
        <f>SUM(H12:H33)</f>
        <v>61560.583283582084</v>
      </c>
    </row>
    <row r="35" spans="2:30" ht="15" thickBot="1" x14ac:dyDescent="0.35"/>
    <row r="36" spans="2:30" ht="15.6" x14ac:dyDescent="0.3">
      <c r="G36" s="22" t="s">
        <v>6</v>
      </c>
      <c r="H36" s="57">
        <f>H10+H34</f>
        <v>74690.392238805973</v>
      </c>
    </row>
  </sheetData>
  <mergeCells count="2">
    <mergeCell ref="B6:B9"/>
    <mergeCell ref="B13:B33"/>
  </mergeCells>
  <conditionalFormatting sqref="H5:H9">
    <cfRule type="cellIs" dxfId="307" priority="55" operator="lessThan">
      <formula>0</formula>
    </cfRule>
    <cfRule type="cellIs" dxfId="306" priority="56" operator="greaterThan">
      <formula>0</formula>
    </cfRule>
  </conditionalFormatting>
  <conditionalFormatting sqref="E5:E7">
    <cfRule type="cellIs" dxfId="305" priority="49" operator="lessThan">
      <formula>0</formula>
    </cfRule>
    <cfRule type="cellIs" dxfId="304" priority="50" operator="greaterThanOrEqual">
      <formula>0</formula>
    </cfRule>
  </conditionalFormatting>
  <conditionalFormatting sqref="F5:G9">
    <cfRule type="cellIs" dxfId="303" priority="43" operator="greaterThanOrEqual">
      <formula>0</formula>
    </cfRule>
    <cfRule type="cellIs" dxfId="302" priority="44" operator="lessThanOrEqual">
      <formula>0</formula>
    </cfRule>
  </conditionalFormatting>
  <conditionalFormatting sqref="H12:H14">
    <cfRule type="cellIs" dxfId="301" priority="39" operator="lessThan">
      <formula>0</formula>
    </cfRule>
    <cfRule type="cellIs" dxfId="300" priority="40" operator="greaterThan">
      <formula>0</formula>
    </cfRule>
  </conditionalFormatting>
  <conditionalFormatting sqref="E12:E33">
    <cfRule type="cellIs" dxfId="299" priority="37" operator="lessThan">
      <formula>0</formula>
    </cfRule>
    <cfRule type="cellIs" dxfId="298" priority="38" operator="greaterThanOrEqual">
      <formula>0</formula>
    </cfRule>
  </conditionalFormatting>
  <conditionalFormatting sqref="F12:G13 G14 F14:F33">
    <cfRule type="cellIs" dxfId="297" priority="35" operator="greaterThanOrEqual">
      <formula>0</formula>
    </cfRule>
    <cfRule type="cellIs" dxfId="296" priority="36" operator="lessThanOrEqual">
      <formula>0</formula>
    </cfRule>
  </conditionalFormatting>
  <conditionalFormatting sqref="G15:G33">
    <cfRule type="cellIs" dxfId="295" priority="13" operator="greaterThanOrEqual">
      <formula>0</formula>
    </cfRule>
    <cfRule type="cellIs" dxfId="294" priority="14" operator="lessThanOrEqual">
      <formula>0</formula>
    </cfRule>
  </conditionalFormatting>
  <conditionalFormatting sqref="H15:H33">
    <cfRule type="cellIs" dxfId="293" priority="11" operator="lessThan">
      <formula>0</formula>
    </cfRule>
    <cfRule type="cellIs" dxfId="292" priority="12" operator="greaterThan">
      <formula>0</formula>
    </cfRule>
  </conditionalFormatting>
  <conditionalFormatting sqref="H10">
    <cfRule type="cellIs" dxfId="291" priority="5" operator="lessThan">
      <formula>0</formula>
    </cfRule>
    <cfRule type="cellIs" dxfId="290" priority="6" operator="greaterThan">
      <formula>0</formula>
    </cfRule>
  </conditionalFormatting>
  <conditionalFormatting sqref="H34">
    <cfRule type="cellIs" dxfId="289" priority="3" operator="lessThan">
      <formula>0</formula>
    </cfRule>
    <cfRule type="cellIs" dxfId="288" priority="4" operator="greaterThan">
      <formula>0</formula>
    </cfRule>
  </conditionalFormatting>
  <conditionalFormatting sqref="H36">
    <cfRule type="cellIs" dxfId="287" priority="1" operator="lessThan">
      <formula>0</formula>
    </cfRule>
    <cfRule type="cellIs" dxfId="286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4"/>
  <sheetViews>
    <sheetView zoomScale="98" zoomScaleNormal="98" workbookViewId="0">
      <selection activeCell="G11" sqref="G11"/>
    </sheetView>
  </sheetViews>
  <sheetFormatPr baseColWidth="10" defaultRowHeight="14.4" x14ac:dyDescent="0.3"/>
  <cols>
    <col min="2" max="2" width="25.77734375" bestFit="1" customWidth="1"/>
    <col min="3" max="3" width="14.44140625" bestFit="1" customWidth="1"/>
    <col min="4" max="4" width="31.88671875" bestFit="1" customWidth="1"/>
    <col min="5" max="5" width="22.21875" bestFit="1" customWidth="1"/>
    <col min="6" max="6" width="26.21875" bestFit="1" customWidth="1"/>
    <col min="7" max="7" width="23.77734375" bestFit="1" customWidth="1"/>
    <col min="8" max="8" width="15.44140625" bestFit="1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6" t="s">
        <v>24</v>
      </c>
      <c r="H2" s="56">
        <v>3.35</v>
      </c>
    </row>
    <row r="3" spans="1:41" ht="15" thickBot="1" x14ac:dyDescent="0.35"/>
    <row r="4" spans="1:41" ht="16.2" thickBot="1" x14ac:dyDescent="0.35">
      <c r="C4" s="23" t="s">
        <v>59</v>
      </c>
      <c r="D4" s="11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1:41" ht="29.4" thickBot="1" x14ac:dyDescent="0.35">
      <c r="B5" s="15" t="s">
        <v>1</v>
      </c>
      <c r="C5" s="82" t="s">
        <v>34</v>
      </c>
      <c r="D5" s="129" t="s">
        <v>20</v>
      </c>
      <c r="E5" s="6">
        <f>21*240</f>
        <v>5040</v>
      </c>
      <c r="F5" s="6"/>
      <c r="G5" s="6">
        <f>(3504+1269.463+16.771)/H2</f>
        <v>1429.9205970149251</v>
      </c>
      <c r="H5" s="25">
        <f>E5-(F5+G5)</f>
        <v>3610.0794029850749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customHeight="1" thickBot="1" x14ac:dyDescent="0.35">
      <c r="B6" s="143" t="s">
        <v>2</v>
      </c>
      <c r="C6" s="82" t="s">
        <v>34</v>
      </c>
      <c r="D6" s="129" t="s">
        <v>121</v>
      </c>
      <c r="E6" s="6">
        <f>20*270</f>
        <v>5400</v>
      </c>
      <c r="F6" s="6">
        <f>20*155</f>
        <v>3100</v>
      </c>
      <c r="G6" s="6"/>
      <c r="H6" s="25">
        <f t="shared" ref="H6:H15" si="0">E6-(F6+G6)</f>
        <v>2300</v>
      </c>
    </row>
    <row r="7" spans="1:41" ht="16.2" customHeight="1" thickBot="1" x14ac:dyDescent="0.35">
      <c r="B7" s="144"/>
      <c r="C7" s="82" t="s">
        <v>34</v>
      </c>
      <c r="D7" s="130" t="s">
        <v>22</v>
      </c>
      <c r="E7" s="6">
        <f>18.5*270</f>
        <v>4995</v>
      </c>
      <c r="F7" s="6">
        <f>18.5*160</f>
        <v>2960</v>
      </c>
      <c r="G7" s="6"/>
      <c r="H7" s="25">
        <f t="shared" si="0"/>
        <v>2035</v>
      </c>
    </row>
    <row r="8" spans="1:41" ht="16.2" customHeight="1" thickBot="1" x14ac:dyDescent="0.35">
      <c r="B8" s="147"/>
      <c r="C8" s="82" t="s">
        <v>34</v>
      </c>
      <c r="D8" s="130" t="s">
        <v>28</v>
      </c>
      <c r="E8" s="6">
        <f>18*270</f>
        <v>4860</v>
      </c>
      <c r="F8" s="6"/>
      <c r="G8" s="6"/>
      <c r="H8" s="25">
        <f t="shared" si="0"/>
        <v>4860</v>
      </c>
    </row>
    <row r="9" spans="1:41" s="84" customFormat="1" ht="15.6" x14ac:dyDescent="0.3">
      <c r="A9"/>
      <c r="B9"/>
      <c r="C9"/>
      <c r="D9" s="5" t="s">
        <v>134</v>
      </c>
      <c r="E9" s="136">
        <f>SUM(E5:E8)</f>
        <v>20295</v>
      </c>
      <c r="F9" s="136">
        <f>SUM(F5:F8)</f>
        <v>6060</v>
      </c>
      <c r="G9" s="5" t="s">
        <v>61</v>
      </c>
      <c r="H9" s="25">
        <f>SUM(H5:H8)</f>
        <v>12805.079402985075</v>
      </c>
      <c r="I9"/>
      <c r="J9"/>
    </row>
    <row r="10" spans="1:41" s="84" customFormat="1" ht="15" thickBot="1" x14ac:dyDescent="0.35">
      <c r="A10"/>
      <c r="B10"/>
      <c r="C10"/>
      <c r="D10"/>
      <c r="E10"/>
      <c r="F10"/>
      <c r="G10"/>
      <c r="H10"/>
      <c r="I10"/>
      <c r="J10"/>
    </row>
    <row r="11" spans="1:41" ht="29.4" thickBot="1" x14ac:dyDescent="0.35">
      <c r="B11" s="15" t="s">
        <v>1</v>
      </c>
      <c r="C11" s="81" t="s">
        <v>32</v>
      </c>
      <c r="D11" s="129" t="s">
        <v>122</v>
      </c>
      <c r="E11" s="94">
        <f>21*240</f>
        <v>5040</v>
      </c>
      <c r="F11" s="94">
        <f>(21*50)/H2</f>
        <v>313.43283582089549</v>
      </c>
      <c r="G11" s="94">
        <f>(2750+828.953+12.982)/H2</f>
        <v>1072.2194029850746</v>
      </c>
      <c r="H11" s="25">
        <f>E11-(F11+G11)</f>
        <v>3654.3477611940298</v>
      </c>
    </row>
    <row r="12" spans="1:41" ht="16.2" customHeight="1" thickBot="1" x14ac:dyDescent="0.35">
      <c r="B12" s="143" t="s">
        <v>2</v>
      </c>
      <c r="C12" s="81" t="s">
        <v>32</v>
      </c>
      <c r="D12" s="129" t="s">
        <v>27</v>
      </c>
      <c r="E12" s="6">
        <f>270*19</f>
        <v>5130</v>
      </c>
      <c r="F12" s="6">
        <f>(19*170)+(20*19)</f>
        <v>3610</v>
      </c>
      <c r="G12" s="6"/>
      <c r="H12" s="25">
        <f t="shared" si="0"/>
        <v>1520</v>
      </c>
    </row>
    <row r="13" spans="1:41" ht="16.2" customHeight="1" thickBot="1" x14ac:dyDescent="0.35">
      <c r="B13" s="144"/>
      <c r="C13" s="81" t="s">
        <v>32</v>
      </c>
      <c r="D13" s="129" t="s">
        <v>23</v>
      </c>
      <c r="E13" s="6">
        <f>19*50</f>
        <v>950</v>
      </c>
      <c r="F13" s="6"/>
      <c r="G13" s="6"/>
      <c r="H13" s="25">
        <f t="shared" si="0"/>
        <v>950</v>
      </c>
    </row>
    <row r="14" spans="1:41" ht="16.2" customHeight="1" thickBot="1" x14ac:dyDescent="0.35">
      <c r="B14" s="144"/>
      <c r="C14" s="81" t="s">
        <v>32</v>
      </c>
      <c r="D14" s="129" t="s">
        <v>68</v>
      </c>
      <c r="E14" s="12">
        <f>220*19.5</f>
        <v>4290</v>
      </c>
      <c r="F14" s="6">
        <f>19.5*140</f>
        <v>2730</v>
      </c>
      <c r="G14" s="6"/>
      <c r="H14" s="25">
        <f t="shared" si="0"/>
        <v>1560</v>
      </c>
    </row>
    <row r="15" spans="1:41" ht="16.2" customHeight="1" thickBot="1" x14ac:dyDescent="0.35">
      <c r="B15" s="144"/>
      <c r="C15" s="81" t="s">
        <v>32</v>
      </c>
      <c r="D15" s="129" t="s">
        <v>71</v>
      </c>
      <c r="E15" s="32">
        <f>20*320</f>
        <v>6400</v>
      </c>
      <c r="F15" s="6">
        <f>20*200</f>
        <v>4000</v>
      </c>
      <c r="G15" s="6"/>
      <c r="H15" s="25">
        <f t="shared" si="0"/>
        <v>2400</v>
      </c>
    </row>
    <row r="16" spans="1:41" ht="16.2" customHeight="1" thickBot="1" x14ac:dyDescent="0.35">
      <c r="B16" s="144"/>
      <c r="C16" s="81" t="s">
        <v>32</v>
      </c>
      <c r="D16" s="129" t="s">
        <v>72</v>
      </c>
      <c r="E16" s="142">
        <f>19*290</f>
        <v>5510</v>
      </c>
      <c r="F16" s="134">
        <f>19*200</f>
        <v>3800</v>
      </c>
      <c r="G16" s="134"/>
      <c r="H16" s="135">
        <f t="shared" ref="H16:H31" si="1">E16-(F16+G16)</f>
        <v>1710</v>
      </c>
    </row>
    <row r="17" spans="2:8" ht="16.2" customHeight="1" thickBot="1" x14ac:dyDescent="0.35">
      <c r="B17" s="144"/>
      <c r="C17" s="81" t="s">
        <v>32</v>
      </c>
      <c r="D17" s="129" t="s">
        <v>119</v>
      </c>
      <c r="E17" s="142">
        <f>19*460</f>
        <v>8740</v>
      </c>
      <c r="F17" s="134">
        <f>(19*1000)/H2</f>
        <v>5671.6417910447763</v>
      </c>
      <c r="G17" s="134"/>
      <c r="H17" s="135">
        <f t="shared" si="1"/>
        <v>3068.3582089552237</v>
      </c>
    </row>
    <row r="18" spans="2:8" ht="16.2" customHeight="1" thickBot="1" x14ac:dyDescent="0.35">
      <c r="B18" s="144"/>
      <c r="C18" s="81" t="s">
        <v>32</v>
      </c>
      <c r="D18" s="129" t="s">
        <v>30</v>
      </c>
      <c r="E18" s="142">
        <f>280*18.5</f>
        <v>5180</v>
      </c>
      <c r="F18" s="134">
        <f>18.5*200</f>
        <v>3700</v>
      </c>
      <c r="G18" s="134"/>
      <c r="H18" s="135">
        <f t="shared" si="1"/>
        <v>1480</v>
      </c>
    </row>
    <row r="19" spans="2:8" ht="16.2" customHeight="1" thickBot="1" x14ac:dyDescent="0.35">
      <c r="B19" s="144"/>
      <c r="C19" s="81" t="s">
        <v>32</v>
      </c>
      <c r="D19" s="129" t="s">
        <v>67</v>
      </c>
      <c r="E19" s="142">
        <f>(1500+5000)/H2</f>
        <v>1940.2985074626865</v>
      </c>
      <c r="F19" s="134"/>
      <c r="G19" s="134"/>
      <c r="H19" s="135">
        <f t="shared" si="1"/>
        <v>1940.2985074626865</v>
      </c>
    </row>
    <row r="20" spans="2:8" ht="16.2" customHeight="1" thickBot="1" x14ac:dyDescent="0.35">
      <c r="B20" s="144"/>
      <c r="C20" s="81" t="s">
        <v>32</v>
      </c>
      <c r="D20" s="129" t="s">
        <v>77</v>
      </c>
      <c r="E20" s="142">
        <f>19.5*340</f>
        <v>6630</v>
      </c>
      <c r="F20" s="134">
        <f>19.5*210</f>
        <v>4095</v>
      </c>
      <c r="G20" s="134"/>
      <c r="H20" s="135">
        <f t="shared" si="1"/>
        <v>2535</v>
      </c>
    </row>
    <row r="21" spans="2:8" ht="16.2" customHeight="1" thickBot="1" x14ac:dyDescent="0.35">
      <c r="B21" s="144"/>
      <c r="C21" s="81" t="s">
        <v>32</v>
      </c>
      <c r="D21" s="129" t="s">
        <v>126</v>
      </c>
      <c r="E21" s="142">
        <f>12*260</f>
        <v>3120</v>
      </c>
      <c r="F21" s="134">
        <f>12*180</f>
        <v>2160</v>
      </c>
      <c r="G21" s="134"/>
      <c r="H21" s="135">
        <f t="shared" si="1"/>
        <v>960</v>
      </c>
    </row>
    <row r="22" spans="2:8" ht="16.2" customHeight="1" thickBot="1" x14ac:dyDescent="0.35">
      <c r="B22" s="144"/>
      <c r="C22" s="81" t="s">
        <v>32</v>
      </c>
      <c r="D22" s="129" t="s">
        <v>123</v>
      </c>
      <c r="E22" s="142">
        <f>18*50</f>
        <v>900</v>
      </c>
      <c r="F22" s="134"/>
      <c r="G22" s="134"/>
      <c r="H22" s="135">
        <f t="shared" si="1"/>
        <v>900</v>
      </c>
    </row>
    <row r="23" spans="2:8" ht="16.2" customHeight="1" thickBot="1" x14ac:dyDescent="0.35">
      <c r="B23" s="144"/>
      <c r="C23" s="81" t="s">
        <v>32</v>
      </c>
      <c r="D23" s="129" t="s">
        <v>124</v>
      </c>
      <c r="E23" s="142">
        <f>18*50</f>
        <v>900</v>
      </c>
      <c r="F23" s="134"/>
      <c r="G23" s="134"/>
      <c r="H23" s="135">
        <f t="shared" si="1"/>
        <v>900</v>
      </c>
    </row>
    <row r="24" spans="2:8" ht="16.2" customHeight="1" thickBot="1" x14ac:dyDescent="0.35">
      <c r="B24" s="144"/>
      <c r="C24" s="81" t="s">
        <v>32</v>
      </c>
      <c r="D24" s="129" t="s">
        <v>125</v>
      </c>
      <c r="E24" s="142">
        <f>18*290</f>
        <v>5220</v>
      </c>
      <c r="F24" s="134">
        <f>(18*600)/H2</f>
        <v>3223.8805970149251</v>
      </c>
      <c r="G24" s="134"/>
      <c r="H24" s="135">
        <f t="shared" si="1"/>
        <v>1996.1194029850749</v>
      </c>
    </row>
    <row r="25" spans="2:8" ht="16.2" customHeight="1" thickBot="1" x14ac:dyDescent="0.35">
      <c r="B25" s="144"/>
      <c r="C25" s="81" t="s">
        <v>32</v>
      </c>
      <c r="D25" s="129" t="s">
        <v>127</v>
      </c>
      <c r="E25" s="142">
        <f>11020+11400</f>
        <v>22420</v>
      </c>
      <c r="F25" s="134"/>
      <c r="G25" s="134"/>
      <c r="H25" s="135">
        <f t="shared" si="1"/>
        <v>22420</v>
      </c>
    </row>
    <row r="26" spans="2:8" ht="16.2" customHeight="1" thickBot="1" x14ac:dyDescent="0.35">
      <c r="B26" s="144"/>
      <c r="C26" s="81" t="s">
        <v>32</v>
      </c>
      <c r="D26" s="129" t="s">
        <v>128</v>
      </c>
      <c r="E26" s="142">
        <f>270*19</f>
        <v>5130</v>
      </c>
      <c r="F26" s="134">
        <f>(19*620)/H2</f>
        <v>3516.4179104477612</v>
      </c>
      <c r="G26" s="134"/>
      <c r="H26" s="135">
        <f t="shared" si="1"/>
        <v>1613.5820895522388</v>
      </c>
    </row>
    <row r="27" spans="2:8" ht="16.2" customHeight="1" thickBot="1" x14ac:dyDescent="0.35">
      <c r="B27" s="144"/>
      <c r="C27" s="81" t="s">
        <v>32</v>
      </c>
      <c r="D27" s="129" t="s">
        <v>129</v>
      </c>
      <c r="E27" s="142">
        <f>19*260</f>
        <v>4940</v>
      </c>
      <c r="F27" s="134">
        <f>(19*500)/H2</f>
        <v>2835.8208955223881</v>
      </c>
      <c r="G27" s="134"/>
      <c r="H27" s="135">
        <f t="shared" si="1"/>
        <v>2104.1791044776119</v>
      </c>
    </row>
    <row r="28" spans="2:8" ht="16.2" customHeight="1" thickBot="1" x14ac:dyDescent="0.35">
      <c r="B28" s="144"/>
      <c r="C28" s="81" t="s">
        <v>32</v>
      </c>
      <c r="D28" s="129" t="s">
        <v>70</v>
      </c>
      <c r="E28" s="142">
        <f>18*280</f>
        <v>5040</v>
      </c>
      <c r="F28" s="134">
        <f>(18*600)/H2</f>
        <v>3223.8805970149251</v>
      </c>
      <c r="G28" s="134"/>
      <c r="H28" s="135">
        <f t="shared" si="1"/>
        <v>1816.1194029850749</v>
      </c>
    </row>
    <row r="29" spans="2:8" ht="16.2" customHeight="1" thickBot="1" x14ac:dyDescent="0.35">
      <c r="B29" s="144"/>
      <c r="C29" s="81" t="s">
        <v>32</v>
      </c>
      <c r="D29" s="129" t="s">
        <v>144</v>
      </c>
      <c r="E29" s="142">
        <f>19*260</f>
        <v>4940</v>
      </c>
      <c r="F29" s="134">
        <f>19*200</f>
        <v>3800</v>
      </c>
      <c r="G29" s="134"/>
      <c r="H29" s="135">
        <f t="shared" si="1"/>
        <v>1140</v>
      </c>
    </row>
    <row r="30" spans="2:8" ht="16.2" customHeight="1" thickBot="1" x14ac:dyDescent="0.35">
      <c r="B30" s="144"/>
      <c r="C30" s="81" t="s">
        <v>32</v>
      </c>
      <c r="D30" s="129" t="s">
        <v>145</v>
      </c>
      <c r="E30" s="142">
        <f>19*260</f>
        <v>4940</v>
      </c>
      <c r="F30" s="134">
        <f>(19*500)/H2</f>
        <v>2835.8208955223881</v>
      </c>
      <c r="G30" s="134"/>
      <c r="H30" s="135">
        <f t="shared" si="1"/>
        <v>2104.1791044776119</v>
      </c>
    </row>
    <row r="31" spans="2:8" ht="16.2" customHeight="1" thickBot="1" x14ac:dyDescent="0.35">
      <c r="B31" s="147"/>
      <c r="C31" s="81" t="s">
        <v>32</v>
      </c>
      <c r="D31" s="129" t="s">
        <v>146</v>
      </c>
      <c r="E31" s="142">
        <f>17.5*250</f>
        <v>4375</v>
      </c>
      <c r="F31" s="134">
        <f>17.5*150</f>
        <v>2625</v>
      </c>
      <c r="G31" s="134"/>
      <c r="H31" s="135">
        <f t="shared" si="1"/>
        <v>1750</v>
      </c>
    </row>
    <row r="32" spans="2:8" ht="15.6" x14ac:dyDescent="0.3">
      <c r="D32" s="5" t="s">
        <v>134</v>
      </c>
      <c r="E32" s="136">
        <f>SUM(E11:E31)</f>
        <v>111735.29850746269</v>
      </c>
      <c r="F32" s="136">
        <f>SUM(F11:F31)</f>
        <v>52140.895522388062</v>
      </c>
      <c r="G32" s="5" t="s">
        <v>62</v>
      </c>
      <c r="H32" s="50">
        <f>SUM(H11:H31)</f>
        <v>58522.18358208955</v>
      </c>
    </row>
    <row r="33" spans="7:8" ht="15" thickBot="1" x14ac:dyDescent="0.35"/>
    <row r="34" spans="7:8" ht="15.6" x14ac:dyDescent="0.3">
      <c r="G34" s="5" t="s">
        <v>6</v>
      </c>
      <c r="H34" s="57">
        <f>H9+H32</f>
        <v>71327.262985074631</v>
      </c>
    </row>
  </sheetData>
  <mergeCells count="2">
    <mergeCell ref="B6:B8"/>
    <mergeCell ref="B12:B31"/>
  </mergeCells>
  <conditionalFormatting sqref="H34 H5:H8 H16:H31">
    <cfRule type="cellIs" dxfId="278" priority="63" operator="lessThan">
      <formula>0</formula>
    </cfRule>
    <cfRule type="cellIs" dxfId="277" priority="64" operator="greaterThan">
      <formula>0</formula>
    </cfRule>
  </conditionalFormatting>
  <conditionalFormatting sqref="E5:E8">
    <cfRule type="cellIs" dxfId="276" priority="57" operator="lessThan">
      <formula>0</formula>
    </cfRule>
    <cfRule type="cellIs" dxfId="275" priority="58" operator="greaterThanOrEqual">
      <formula>0</formula>
    </cfRule>
  </conditionalFormatting>
  <conditionalFormatting sqref="G5:G8 F16:G31">
    <cfRule type="cellIs" dxfId="274" priority="43" operator="greaterThanOrEqual">
      <formula>0</formula>
    </cfRule>
    <cfRule type="cellIs" dxfId="273" priority="44" operator="lessThanOrEqual">
      <formula>0</formula>
    </cfRule>
  </conditionalFormatting>
  <conditionalFormatting sqref="F5:F8">
    <cfRule type="cellIs" dxfId="272" priority="41" operator="greaterThanOrEqual">
      <formula>0</formula>
    </cfRule>
    <cfRule type="cellIs" dxfId="271" priority="42" operator="lessThanOrEqual">
      <formula>0</formula>
    </cfRule>
  </conditionalFormatting>
  <conditionalFormatting sqref="E11">
    <cfRule type="cellIs" dxfId="270" priority="37" operator="lessThan">
      <formula>0</formula>
    </cfRule>
    <cfRule type="cellIs" dxfId="269" priority="38" operator="greaterThanOrEqual">
      <formula>0</formula>
    </cfRule>
  </conditionalFormatting>
  <conditionalFormatting sqref="G11">
    <cfRule type="cellIs" dxfId="268" priority="35" operator="greaterThanOrEqual">
      <formula>0</formula>
    </cfRule>
    <cfRule type="cellIs" dxfId="267" priority="36" operator="lessThanOrEqual">
      <formula>0</formula>
    </cfRule>
  </conditionalFormatting>
  <conditionalFormatting sqref="F11">
    <cfRule type="cellIs" dxfId="266" priority="33" operator="greaterThanOrEqual">
      <formula>0</formula>
    </cfRule>
    <cfRule type="cellIs" dxfId="265" priority="34" operator="lessThanOrEqual">
      <formula>0</formula>
    </cfRule>
  </conditionalFormatting>
  <conditionalFormatting sqref="H12:H15">
    <cfRule type="cellIs" dxfId="264" priority="31" operator="lessThan">
      <formula>0</formula>
    </cfRule>
    <cfRule type="cellIs" dxfId="263" priority="32" operator="greaterThan">
      <formula>0</formula>
    </cfRule>
  </conditionalFormatting>
  <conditionalFormatting sqref="E12:E13">
    <cfRule type="cellIs" dxfId="262" priority="29" operator="lessThan">
      <formula>0</formula>
    </cfRule>
    <cfRule type="cellIs" dxfId="261" priority="30" operator="greaterThanOrEqual">
      <formula>0</formula>
    </cfRule>
  </conditionalFormatting>
  <conditionalFormatting sqref="G12:G13">
    <cfRule type="cellIs" dxfId="260" priority="27" operator="greaterThanOrEqual">
      <formula>0</formula>
    </cfRule>
    <cfRule type="cellIs" dxfId="259" priority="28" operator="lessThanOrEqual">
      <formula>0</formula>
    </cfRule>
  </conditionalFormatting>
  <conditionalFormatting sqref="F12:F13">
    <cfRule type="cellIs" dxfId="258" priority="25" operator="greaterThanOrEqual">
      <formula>0</formula>
    </cfRule>
    <cfRule type="cellIs" dxfId="257" priority="26" operator="lessThanOrEqual">
      <formula>0</formula>
    </cfRule>
  </conditionalFormatting>
  <conditionalFormatting sqref="G15">
    <cfRule type="cellIs" dxfId="256" priority="13" operator="greaterThanOrEqual">
      <formula>0</formula>
    </cfRule>
    <cfRule type="cellIs" dxfId="255" priority="14" operator="lessThanOrEqual">
      <formula>0</formula>
    </cfRule>
  </conditionalFormatting>
  <conditionalFormatting sqref="G14">
    <cfRule type="cellIs" dxfId="254" priority="11" operator="greaterThanOrEqual">
      <formula>0</formula>
    </cfRule>
    <cfRule type="cellIs" dxfId="253" priority="12" operator="lessThanOrEqual">
      <formula>0</formula>
    </cfRule>
  </conditionalFormatting>
  <conditionalFormatting sqref="F14">
    <cfRule type="cellIs" dxfId="252" priority="9" operator="greaterThanOrEqual">
      <formula>0</formula>
    </cfRule>
    <cfRule type="cellIs" dxfId="251" priority="10" operator="lessThanOrEqual">
      <formula>0</formula>
    </cfRule>
  </conditionalFormatting>
  <conditionalFormatting sqref="F15">
    <cfRule type="cellIs" dxfId="250" priority="7" operator="greaterThanOrEqual">
      <formula>0</formula>
    </cfRule>
    <cfRule type="cellIs" dxfId="249" priority="8" operator="lessThanOrEqual">
      <formula>0</formula>
    </cfRule>
  </conditionalFormatting>
  <conditionalFormatting sqref="H9">
    <cfRule type="cellIs" dxfId="248" priority="5" operator="lessThan">
      <formula>0</formula>
    </cfRule>
    <cfRule type="cellIs" dxfId="247" priority="6" operator="greaterThan">
      <formula>0</formula>
    </cfRule>
  </conditionalFormatting>
  <conditionalFormatting sqref="H11">
    <cfRule type="cellIs" dxfId="246" priority="3" operator="lessThan">
      <formula>0</formula>
    </cfRule>
    <cfRule type="cellIs" dxfId="245" priority="4" operator="greaterThan">
      <formula>0</formula>
    </cfRule>
  </conditionalFormatting>
  <conditionalFormatting sqref="H32">
    <cfRule type="cellIs" dxfId="244" priority="1" operator="lessThan">
      <formula>0</formula>
    </cfRule>
    <cfRule type="cellIs" dxfId="243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5"/>
  <sheetViews>
    <sheetView topLeftCell="A10" zoomScale="89" zoomScaleNormal="89" workbookViewId="0">
      <selection activeCell="H36" sqref="H36"/>
    </sheetView>
  </sheetViews>
  <sheetFormatPr baseColWidth="10" defaultRowHeight="14.4" x14ac:dyDescent="0.3"/>
  <cols>
    <col min="2" max="2" width="25.77734375" bestFit="1" customWidth="1"/>
    <col min="3" max="3" width="14.21875" bestFit="1" customWidth="1"/>
    <col min="4" max="4" width="32.109375" bestFit="1" customWidth="1"/>
    <col min="5" max="5" width="21.77734375" bestFit="1" customWidth="1"/>
    <col min="6" max="6" width="26.5546875" bestFit="1" customWidth="1"/>
    <col min="7" max="7" width="23.33203125" bestFit="1" customWidth="1"/>
    <col min="8" max="8" width="15.218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6" t="s">
        <v>24</v>
      </c>
      <c r="H2" s="56">
        <v>3.35</v>
      </c>
    </row>
    <row r="3" spans="1:41" ht="15" thickBot="1" x14ac:dyDescent="0.35"/>
    <row r="4" spans="1:41" ht="16.2" thickBot="1" x14ac:dyDescent="0.35">
      <c r="C4" s="23" t="s">
        <v>59</v>
      </c>
      <c r="D4" s="3" t="s">
        <v>0</v>
      </c>
      <c r="E4" s="4" t="s">
        <v>3</v>
      </c>
      <c r="F4" s="7" t="s">
        <v>4</v>
      </c>
      <c r="G4" s="17" t="s">
        <v>26</v>
      </c>
      <c r="H4" s="30" t="s">
        <v>5</v>
      </c>
    </row>
    <row r="5" spans="1:41" ht="19.8" customHeight="1" thickBot="1" x14ac:dyDescent="0.35">
      <c r="B5" s="58" t="s">
        <v>1</v>
      </c>
      <c r="C5" s="82" t="s">
        <v>34</v>
      </c>
      <c r="D5" s="129" t="s">
        <v>20</v>
      </c>
      <c r="E5" s="6">
        <v>4080</v>
      </c>
      <c r="F5" s="6"/>
      <c r="G5" s="6">
        <f>(3354+1180.69+21.95)/H2</f>
        <v>1360.1910447761195</v>
      </c>
      <c r="H5" s="25">
        <f>E5-(F5+G5)</f>
        <v>2719.8089552238807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customHeight="1" thickBot="1" x14ac:dyDescent="0.35">
      <c r="B6" s="143" t="s">
        <v>2</v>
      </c>
      <c r="C6" s="82" t="s">
        <v>34</v>
      </c>
      <c r="D6" s="129" t="s">
        <v>121</v>
      </c>
      <c r="E6" s="12">
        <f>18*270</f>
        <v>4860</v>
      </c>
      <c r="F6" s="6">
        <f>18*155</f>
        <v>2790</v>
      </c>
      <c r="G6" s="6"/>
      <c r="H6" s="25">
        <f t="shared" ref="H6:H11" si="0">E6-(F6+G6)</f>
        <v>2070</v>
      </c>
    </row>
    <row r="7" spans="1:41" ht="16.2" customHeight="1" thickBot="1" x14ac:dyDescent="0.35">
      <c r="B7" s="144"/>
      <c r="C7" s="82" t="s">
        <v>34</v>
      </c>
      <c r="D7" s="130" t="s">
        <v>22</v>
      </c>
      <c r="E7" s="6">
        <f>16*270</f>
        <v>4320</v>
      </c>
      <c r="F7" s="6">
        <f>16*160</f>
        <v>2560</v>
      </c>
      <c r="G7" s="6"/>
      <c r="H7" s="25">
        <f t="shared" si="0"/>
        <v>1760</v>
      </c>
    </row>
    <row r="8" spans="1:41" ht="16.2" customHeight="1" thickBot="1" x14ac:dyDescent="0.35">
      <c r="B8" s="144"/>
      <c r="C8" s="82" t="s">
        <v>34</v>
      </c>
      <c r="D8" s="130" t="s">
        <v>28</v>
      </c>
      <c r="E8" s="6">
        <v>4860</v>
      </c>
      <c r="F8" s="6"/>
      <c r="G8" s="6"/>
      <c r="H8" s="25">
        <f t="shared" si="0"/>
        <v>4860</v>
      </c>
    </row>
    <row r="9" spans="1:41" s="109" customFormat="1" ht="15.6" x14ac:dyDescent="0.3">
      <c r="A9"/>
      <c r="B9"/>
      <c r="C9"/>
      <c r="D9" s="5" t="s">
        <v>134</v>
      </c>
      <c r="E9" s="136">
        <f>SUM(E5:E8)</f>
        <v>18120</v>
      </c>
      <c r="F9" s="136">
        <f>SUM(F5:F8)</f>
        <v>5350</v>
      </c>
      <c r="G9" s="5" t="s">
        <v>61</v>
      </c>
      <c r="H9" s="25">
        <f>SUM(H5:H8)</f>
        <v>11409.808955223882</v>
      </c>
    </row>
    <row r="10" spans="1:41" s="84" customFormat="1" ht="18.600000000000001" customHeight="1" thickBot="1" x14ac:dyDescent="0.35">
      <c r="A10"/>
      <c r="B10"/>
      <c r="C10"/>
      <c r="D10"/>
      <c r="E10"/>
      <c r="F10" s="115"/>
      <c r="G10" s="115"/>
      <c r="H10" s="115"/>
    </row>
    <row r="11" spans="1:41" ht="24" customHeight="1" thickBot="1" x14ac:dyDescent="0.35">
      <c r="B11" s="140" t="s">
        <v>1</v>
      </c>
      <c r="C11" s="81" t="s">
        <v>32</v>
      </c>
      <c r="D11" s="129" t="s">
        <v>122</v>
      </c>
      <c r="E11" s="6">
        <f>18*240</f>
        <v>4320</v>
      </c>
      <c r="F11" s="6">
        <f>(18*50)/H2</f>
        <v>268.65671641791045</v>
      </c>
      <c r="G11" s="94">
        <f>(2600+750.568+12.228)/H2</f>
        <v>1003.8197014925373</v>
      </c>
      <c r="H11" s="25">
        <f t="shared" si="0"/>
        <v>3047.5235820895523</v>
      </c>
    </row>
    <row r="12" spans="1:41" ht="16.2" customHeight="1" thickBot="1" x14ac:dyDescent="0.35">
      <c r="B12" s="143" t="s">
        <v>2</v>
      </c>
      <c r="C12" s="81" t="s">
        <v>32</v>
      </c>
      <c r="D12" s="129" t="s">
        <v>27</v>
      </c>
      <c r="E12" s="134">
        <f>19*270</f>
        <v>5130</v>
      </c>
      <c r="F12" s="134">
        <f>(19*170)+(19*20)</f>
        <v>3610</v>
      </c>
      <c r="G12" s="134"/>
      <c r="H12" s="135">
        <f>E12-(F12+G12)</f>
        <v>1520</v>
      </c>
    </row>
    <row r="13" spans="1:41" ht="16.2" customHeight="1" thickBot="1" x14ac:dyDescent="0.35">
      <c r="B13" s="144"/>
      <c r="C13" s="81" t="s">
        <v>32</v>
      </c>
      <c r="D13" s="129" t="s">
        <v>23</v>
      </c>
      <c r="E13" s="134">
        <f>20*50</f>
        <v>1000</v>
      </c>
      <c r="F13" s="134"/>
      <c r="G13" s="134"/>
      <c r="H13" s="135">
        <f>E13-(F13+G13)</f>
        <v>1000</v>
      </c>
    </row>
    <row r="14" spans="1:41" ht="16.2" customHeight="1" thickBot="1" x14ac:dyDescent="0.35">
      <c r="B14" s="144"/>
      <c r="C14" s="81" t="s">
        <v>32</v>
      </c>
      <c r="D14" s="129" t="s">
        <v>68</v>
      </c>
      <c r="E14" s="134">
        <f>220*19</f>
        <v>4180</v>
      </c>
      <c r="F14" s="134">
        <f>19*140</f>
        <v>2660</v>
      </c>
      <c r="G14" s="134"/>
      <c r="H14" s="135">
        <f>E14-(F14+G14)</f>
        <v>1520</v>
      </c>
    </row>
    <row r="15" spans="1:41" ht="16.2" customHeight="1" thickBot="1" x14ac:dyDescent="0.35">
      <c r="B15" s="144"/>
      <c r="C15" s="81" t="s">
        <v>32</v>
      </c>
      <c r="D15" s="129" t="s">
        <v>71</v>
      </c>
      <c r="E15" s="134">
        <f>17*320</f>
        <v>5440</v>
      </c>
      <c r="F15" s="134">
        <f>17*200</f>
        <v>3400</v>
      </c>
      <c r="G15" s="134"/>
      <c r="H15" s="135">
        <f t="shared" ref="H15:H32" si="1">E15-(F15+G15)</f>
        <v>2040</v>
      </c>
    </row>
    <row r="16" spans="1:41" ht="16.2" customHeight="1" thickBot="1" x14ac:dyDescent="0.35">
      <c r="B16" s="144"/>
      <c r="C16" s="81" t="s">
        <v>32</v>
      </c>
      <c r="D16" s="129" t="s">
        <v>72</v>
      </c>
      <c r="E16" s="134">
        <f>16*290</f>
        <v>4640</v>
      </c>
      <c r="F16" s="134">
        <f>16*200</f>
        <v>3200</v>
      </c>
      <c r="G16" s="134"/>
      <c r="H16" s="135">
        <f t="shared" si="1"/>
        <v>1440</v>
      </c>
    </row>
    <row r="17" spans="2:8" ht="16.2" customHeight="1" thickBot="1" x14ac:dyDescent="0.35">
      <c r="B17" s="144"/>
      <c r="C17" s="81" t="s">
        <v>32</v>
      </c>
      <c r="D17" s="129" t="s">
        <v>119</v>
      </c>
      <c r="E17" s="134">
        <f>17*460</f>
        <v>7820</v>
      </c>
      <c r="F17" s="134">
        <f>(17*1000)/H2</f>
        <v>5074.626865671642</v>
      </c>
      <c r="G17" s="134"/>
      <c r="H17" s="135">
        <f t="shared" si="1"/>
        <v>2745.373134328358</v>
      </c>
    </row>
    <row r="18" spans="2:8" ht="16.2" customHeight="1" thickBot="1" x14ac:dyDescent="0.35">
      <c r="B18" s="144"/>
      <c r="C18" s="81" t="s">
        <v>32</v>
      </c>
      <c r="D18" s="129" t="s">
        <v>30</v>
      </c>
      <c r="E18" s="134">
        <f>18.5*280</f>
        <v>5180</v>
      </c>
      <c r="F18" s="134">
        <f>18.5*200</f>
        <v>3700</v>
      </c>
      <c r="G18" s="134"/>
      <c r="H18" s="135">
        <f t="shared" si="1"/>
        <v>1480</v>
      </c>
    </row>
    <row r="19" spans="2:8" ht="16.2" customHeight="1" thickBot="1" x14ac:dyDescent="0.35">
      <c r="B19" s="144"/>
      <c r="C19" s="81" t="s">
        <v>32</v>
      </c>
      <c r="D19" s="129" t="s">
        <v>67</v>
      </c>
      <c r="E19" s="142">
        <f>(1500+5000)/H2</f>
        <v>1940.2985074626865</v>
      </c>
      <c r="F19" s="134"/>
      <c r="G19" s="134"/>
      <c r="H19" s="135">
        <f t="shared" si="1"/>
        <v>1940.2985074626865</v>
      </c>
    </row>
    <row r="20" spans="2:8" ht="16.2" customHeight="1" thickBot="1" x14ac:dyDescent="0.35">
      <c r="B20" s="144"/>
      <c r="C20" s="81" t="s">
        <v>32</v>
      </c>
      <c r="D20" s="129" t="s">
        <v>77</v>
      </c>
      <c r="E20" s="134">
        <f>13*340</f>
        <v>4420</v>
      </c>
      <c r="F20" s="134">
        <f>13*210</f>
        <v>2730</v>
      </c>
      <c r="G20" s="134"/>
      <c r="H20" s="135">
        <f t="shared" si="1"/>
        <v>1690</v>
      </c>
    </row>
    <row r="21" spans="2:8" ht="16.2" customHeight="1" thickBot="1" x14ac:dyDescent="0.35">
      <c r="B21" s="144"/>
      <c r="C21" s="81" t="s">
        <v>32</v>
      </c>
      <c r="D21" s="129" t="s">
        <v>126</v>
      </c>
      <c r="E21" s="134">
        <f>11*260</f>
        <v>2860</v>
      </c>
      <c r="F21" s="134">
        <f>11*180</f>
        <v>1980</v>
      </c>
      <c r="G21" s="134"/>
      <c r="H21" s="135">
        <f t="shared" si="1"/>
        <v>880</v>
      </c>
    </row>
    <row r="22" spans="2:8" ht="16.2" customHeight="1" thickBot="1" x14ac:dyDescent="0.35">
      <c r="B22" s="144"/>
      <c r="C22" s="81" t="s">
        <v>32</v>
      </c>
      <c r="D22" s="129" t="s">
        <v>123</v>
      </c>
      <c r="E22" s="134">
        <f>19*50</f>
        <v>950</v>
      </c>
      <c r="F22" s="134"/>
      <c r="G22" s="134"/>
      <c r="H22" s="135">
        <f t="shared" si="1"/>
        <v>950</v>
      </c>
    </row>
    <row r="23" spans="2:8" ht="16.2" customHeight="1" thickBot="1" x14ac:dyDescent="0.35">
      <c r="B23" s="144"/>
      <c r="C23" s="81" t="s">
        <v>32</v>
      </c>
      <c r="D23" s="129" t="s">
        <v>124</v>
      </c>
      <c r="E23" s="134">
        <f>18*50</f>
        <v>900</v>
      </c>
      <c r="F23" s="134"/>
      <c r="G23" s="134"/>
      <c r="H23" s="135">
        <f t="shared" si="1"/>
        <v>900</v>
      </c>
    </row>
    <row r="24" spans="2:8" ht="16.2" customHeight="1" thickBot="1" x14ac:dyDescent="0.35">
      <c r="B24" s="144"/>
      <c r="C24" s="81" t="s">
        <v>32</v>
      </c>
      <c r="D24" s="129" t="s">
        <v>125</v>
      </c>
      <c r="E24" s="134">
        <f>12.5*290</f>
        <v>3625</v>
      </c>
      <c r="F24" s="134">
        <f>(12.5*650)/H2</f>
        <v>2425.373134328358</v>
      </c>
      <c r="G24" s="134"/>
      <c r="H24" s="135">
        <f t="shared" si="1"/>
        <v>1199.626865671642</v>
      </c>
    </row>
    <row r="25" spans="2:8" ht="16.2" customHeight="1" thickBot="1" x14ac:dyDescent="0.35">
      <c r="B25" s="144"/>
      <c r="C25" s="81" t="s">
        <v>32</v>
      </c>
      <c r="D25" s="129" t="s">
        <v>127</v>
      </c>
      <c r="E25" s="134">
        <f>12180+12600</f>
        <v>24780</v>
      </c>
      <c r="F25" s="134"/>
      <c r="G25" s="134"/>
      <c r="H25" s="135">
        <f t="shared" si="1"/>
        <v>24780</v>
      </c>
    </row>
    <row r="26" spans="2:8" ht="16.2" customHeight="1" thickBot="1" x14ac:dyDescent="0.35">
      <c r="B26" s="144"/>
      <c r="C26" s="81" t="s">
        <v>32</v>
      </c>
      <c r="D26" s="129" t="s">
        <v>128</v>
      </c>
      <c r="E26" s="134">
        <f>19*270</f>
        <v>5130</v>
      </c>
      <c r="F26" s="134">
        <f>(19*620)/H2</f>
        <v>3516.4179104477612</v>
      </c>
      <c r="G26" s="134"/>
      <c r="H26" s="135">
        <f t="shared" si="1"/>
        <v>1613.5820895522388</v>
      </c>
    </row>
    <row r="27" spans="2:8" ht="16.2" customHeight="1" thickBot="1" x14ac:dyDescent="0.35">
      <c r="B27" s="144"/>
      <c r="C27" s="81" t="s">
        <v>32</v>
      </c>
      <c r="D27" s="129" t="s">
        <v>129</v>
      </c>
      <c r="E27" s="134">
        <f>15*260</f>
        <v>3900</v>
      </c>
      <c r="F27" s="134">
        <f>(15*500)/H2</f>
        <v>2238.8059701492539</v>
      </c>
      <c r="G27" s="134"/>
      <c r="H27" s="135">
        <f t="shared" si="1"/>
        <v>1661.1940298507461</v>
      </c>
    </row>
    <row r="28" spans="2:8" ht="16.2" customHeight="1" thickBot="1" x14ac:dyDescent="0.35">
      <c r="B28" s="144"/>
      <c r="C28" s="81" t="s">
        <v>32</v>
      </c>
      <c r="D28" s="129" t="s">
        <v>70</v>
      </c>
      <c r="E28" s="134">
        <f>19*280</f>
        <v>5320</v>
      </c>
      <c r="F28" s="134">
        <f>(19*600)/H2</f>
        <v>3402.9850746268658</v>
      </c>
      <c r="G28" s="134"/>
      <c r="H28" s="135">
        <f t="shared" si="1"/>
        <v>1917.0149253731342</v>
      </c>
    </row>
    <row r="29" spans="2:8" ht="16.2" customHeight="1" thickBot="1" x14ac:dyDescent="0.35">
      <c r="B29" s="144"/>
      <c r="C29" s="81" t="s">
        <v>32</v>
      </c>
      <c r="D29" s="129" t="s">
        <v>144</v>
      </c>
      <c r="E29" s="134">
        <f>19*260</f>
        <v>4940</v>
      </c>
      <c r="F29" s="134">
        <f>19*200</f>
        <v>3800</v>
      </c>
      <c r="G29" s="134"/>
      <c r="H29" s="135">
        <f t="shared" si="1"/>
        <v>1140</v>
      </c>
    </row>
    <row r="30" spans="2:8" ht="16.2" customHeight="1" thickBot="1" x14ac:dyDescent="0.35">
      <c r="B30" s="144"/>
      <c r="C30" s="81" t="s">
        <v>32</v>
      </c>
      <c r="D30" s="129" t="s">
        <v>145</v>
      </c>
      <c r="E30" s="134">
        <f>19*260</f>
        <v>4940</v>
      </c>
      <c r="F30" s="134">
        <f>(19*500)/H2</f>
        <v>2835.8208955223881</v>
      </c>
      <c r="G30" s="134"/>
      <c r="H30" s="135">
        <f t="shared" si="1"/>
        <v>2104.1791044776119</v>
      </c>
    </row>
    <row r="31" spans="2:8" ht="16.2" customHeight="1" thickBot="1" x14ac:dyDescent="0.35">
      <c r="B31" s="144"/>
      <c r="C31" s="81" t="s">
        <v>32</v>
      </c>
      <c r="D31" s="129" t="s">
        <v>146</v>
      </c>
      <c r="E31" s="6">
        <f>17.5*250</f>
        <v>4375</v>
      </c>
      <c r="F31" s="134">
        <f>17.5*150</f>
        <v>2625</v>
      </c>
      <c r="G31" s="6"/>
      <c r="H31" s="25">
        <f>E31-(F31+G31)</f>
        <v>1750</v>
      </c>
    </row>
    <row r="32" spans="2:8" ht="16.2" customHeight="1" thickBot="1" x14ac:dyDescent="0.35">
      <c r="B32" s="147"/>
      <c r="C32" s="81" t="s">
        <v>32</v>
      </c>
      <c r="D32" s="129" t="s">
        <v>152</v>
      </c>
      <c r="E32" s="134">
        <f>10*250</f>
        <v>2500</v>
      </c>
      <c r="F32" s="134">
        <f>(450*10)/H2</f>
        <v>1343.2835820895523</v>
      </c>
      <c r="G32" s="134"/>
      <c r="H32" s="135">
        <f t="shared" si="1"/>
        <v>1156.7164179104477</v>
      </c>
    </row>
    <row r="33" spans="4:8" ht="15.6" x14ac:dyDescent="0.3">
      <c r="D33" s="5" t="s">
        <v>134</v>
      </c>
      <c r="E33" s="136">
        <f>SUM(E11:E32)</f>
        <v>108290.29850746269</v>
      </c>
      <c r="F33" s="136">
        <f>SUM(F11:F32)</f>
        <v>48810.970149253728</v>
      </c>
      <c r="G33" s="5" t="s">
        <v>62</v>
      </c>
      <c r="H33" s="50">
        <f>SUM(H11:H32)</f>
        <v>58475.508656716425</v>
      </c>
    </row>
    <row r="34" spans="4:8" ht="15" thickBot="1" x14ac:dyDescent="0.35"/>
    <row r="35" spans="4:8" ht="15.6" x14ac:dyDescent="0.3">
      <c r="G35" s="5" t="s">
        <v>6</v>
      </c>
      <c r="H35" s="57">
        <f>H9+H33</f>
        <v>69885.317611940307</v>
      </c>
    </row>
  </sheetData>
  <mergeCells count="2">
    <mergeCell ref="B6:B8"/>
    <mergeCell ref="B12:B32"/>
  </mergeCells>
  <conditionalFormatting sqref="H35 H15:H32 H5:H9">
    <cfRule type="cellIs" dxfId="235" priority="103" operator="lessThan">
      <formula>0</formula>
    </cfRule>
    <cfRule type="cellIs" dxfId="234" priority="104" operator="greaterThan">
      <formula>0</formula>
    </cfRule>
  </conditionalFormatting>
  <conditionalFormatting sqref="E15:E18 E5 E8 E20:E32">
    <cfRule type="cellIs" dxfId="233" priority="99" operator="lessThan">
      <formula>0</formula>
    </cfRule>
    <cfRule type="cellIs" dxfId="232" priority="100" operator="greaterThanOrEqual">
      <formula>0</formula>
    </cfRule>
  </conditionalFormatting>
  <conditionalFormatting sqref="G6:G8 F15:G16 F19:G19 G17:G18 F22:G23 G20:G21 F32:G32 G24:G31">
    <cfRule type="cellIs" dxfId="231" priority="77" operator="greaterThanOrEqual">
      <formula>0</formula>
    </cfRule>
    <cfRule type="cellIs" dxfId="230" priority="78" operator="lessThanOrEqual">
      <formula>0</formula>
    </cfRule>
  </conditionalFormatting>
  <conditionalFormatting sqref="F5:F8">
    <cfRule type="cellIs" dxfId="229" priority="75" operator="greaterThanOrEqual">
      <formula>0</formula>
    </cfRule>
    <cfRule type="cellIs" dxfId="228" priority="76" operator="lessThanOrEqual">
      <formula>0</formula>
    </cfRule>
  </conditionalFormatting>
  <conditionalFormatting sqref="H11">
    <cfRule type="cellIs" dxfId="227" priority="65" operator="lessThan">
      <formula>0</formula>
    </cfRule>
    <cfRule type="cellIs" dxfId="226" priority="66" operator="greaterThan">
      <formula>0</formula>
    </cfRule>
  </conditionalFormatting>
  <conditionalFormatting sqref="E11">
    <cfRule type="cellIs" dxfId="225" priority="63" operator="lessThan">
      <formula>0</formula>
    </cfRule>
    <cfRule type="cellIs" dxfId="224" priority="64" operator="greaterThanOrEqual">
      <formula>0</formula>
    </cfRule>
  </conditionalFormatting>
  <conditionalFormatting sqref="F11">
    <cfRule type="cellIs" dxfId="221" priority="59" operator="greaterThanOrEqual">
      <formula>0</formula>
    </cfRule>
    <cfRule type="cellIs" dxfId="220" priority="60" operator="lessThanOrEqual">
      <formula>0</formula>
    </cfRule>
  </conditionalFormatting>
  <conditionalFormatting sqref="F14:G14">
    <cfRule type="cellIs" dxfId="219" priority="25" operator="greaterThanOrEqual">
      <formula>0</formula>
    </cfRule>
    <cfRule type="cellIs" dxfId="218" priority="26" operator="lessThanOrEqual">
      <formula>0</formula>
    </cfRule>
  </conditionalFormatting>
  <conditionalFormatting sqref="F13:G13">
    <cfRule type="cellIs" dxfId="217" priority="19" operator="greaterThanOrEqual">
      <formula>0</formula>
    </cfRule>
    <cfRule type="cellIs" dxfId="216" priority="20" operator="lessThanOrEqual">
      <formula>0</formula>
    </cfRule>
  </conditionalFormatting>
  <conditionalFormatting sqref="H33">
    <cfRule type="cellIs" dxfId="215" priority="31" operator="lessThan">
      <formula>0</formula>
    </cfRule>
    <cfRule type="cellIs" dxfId="214" priority="32" operator="greaterThan">
      <formula>0</formula>
    </cfRule>
  </conditionalFormatting>
  <conditionalFormatting sqref="H14">
    <cfRule type="cellIs" dxfId="213" priority="29" operator="lessThan">
      <formula>0</formula>
    </cfRule>
    <cfRule type="cellIs" dxfId="212" priority="30" operator="greaterThan">
      <formula>0</formula>
    </cfRule>
  </conditionalFormatting>
  <conditionalFormatting sqref="E14">
    <cfRule type="cellIs" dxfId="211" priority="27" operator="lessThan">
      <formula>0</formula>
    </cfRule>
    <cfRule type="cellIs" dxfId="210" priority="28" operator="greaterThanOrEqual">
      <formula>0</formula>
    </cfRule>
  </conditionalFormatting>
  <conditionalFormatting sqref="H13">
    <cfRule type="cellIs" dxfId="209" priority="23" operator="lessThan">
      <formula>0</formula>
    </cfRule>
    <cfRule type="cellIs" dxfId="208" priority="24" operator="greaterThan">
      <formula>0</formula>
    </cfRule>
  </conditionalFormatting>
  <conditionalFormatting sqref="E13">
    <cfRule type="cellIs" dxfId="207" priority="21" operator="lessThan">
      <formula>0</formula>
    </cfRule>
    <cfRule type="cellIs" dxfId="206" priority="22" operator="greaterThanOrEqual">
      <formula>0</formula>
    </cfRule>
  </conditionalFormatting>
  <conditionalFormatting sqref="H12">
    <cfRule type="cellIs" dxfId="205" priority="17" operator="lessThan">
      <formula>0</formula>
    </cfRule>
    <cfRule type="cellIs" dxfId="204" priority="18" operator="greaterThan">
      <formula>0</formula>
    </cfRule>
  </conditionalFormatting>
  <conditionalFormatting sqref="E12">
    <cfRule type="cellIs" dxfId="203" priority="15" operator="lessThan">
      <formula>0</formula>
    </cfRule>
    <cfRule type="cellIs" dxfId="202" priority="16" operator="greaterThanOrEqual">
      <formula>0</formula>
    </cfRule>
  </conditionalFormatting>
  <conditionalFormatting sqref="F12:G12">
    <cfRule type="cellIs" dxfId="201" priority="13" operator="greaterThanOrEqual">
      <formula>0</formula>
    </cfRule>
    <cfRule type="cellIs" dxfId="200" priority="14" operator="lessThanOrEqual">
      <formula>0</formula>
    </cfRule>
  </conditionalFormatting>
  <conditionalFormatting sqref="E7">
    <cfRule type="cellIs" dxfId="199" priority="11" operator="lessThan">
      <formula>0</formula>
    </cfRule>
    <cfRule type="cellIs" dxfId="198" priority="12" operator="greaterThanOrEqual">
      <formula>0</formula>
    </cfRule>
  </conditionalFormatting>
  <conditionalFormatting sqref="F17:F18">
    <cfRule type="cellIs" dxfId="197" priority="9" operator="greaterThanOrEqual">
      <formula>0</formula>
    </cfRule>
    <cfRule type="cellIs" dxfId="196" priority="10" operator="lessThanOrEqual">
      <formula>0</formula>
    </cfRule>
  </conditionalFormatting>
  <conditionalFormatting sqref="F20:F21">
    <cfRule type="cellIs" dxfId="195" priority="7" operator="greaterThanOrEqual">
      <formula>0</formula>
    </cfRule>
    <cfRule type="cellIs" dxfId="194" priority="8" operator="lessThanOrEqual">
      <formula>0</formula>
    </cfRule>
  </conditionalFormatting>
  <conditionalFormatting sqref="F24:F31">
    <cfRule type="cellIs" dxfId="193" priority="5" operator="greaterThanOrEqual">
      <formula>0</formula>
    </cfRule>
    <cfRule type="cellIs" dxfId="192" priority="6" operator="lessThanOrEqual">
      <formula>0</formula>
    </cfRule>
  </conditionalFormatting>
  <conditionalFormatting sqref="G5">
    <cfRule type="cellIs" dxfId="3" priority="3" operator="greaterThanOrEqual">
      <formula>0</formula>
    </cfRule>
    <cfRule type="cellIs" dxfId="2" priority="4" operator="lessThanOrEqual">
      <formula>0</formula>
    </cfRule>
  </conditionalFormatting>
  <conditionalFormatting sqref="G11">
    <cfRule type="cellIs" dxfId="1" priority="1" operator="greaterThanOrEqual">
      <formula>0</formula>
    </cfRule>
    <cfRule type="cellIs" dxfId="0" priority="2" operator="lessThanOrEqual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Repartition des sociétés</vt:lpstr>
      <vt:lpstr>Charge</vt:lpstr>
      <vt:lpstr>Synthèse 2025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Ocotbre</vt:lpstr>
      <vt:lpstr>Novembre</vt:lpstr>
      <vt:lpstr>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EzeeGen</cp:lastModifiedBy>
  <dcterms:created xsi:type="dcterms:W3CDTF">2023-04-04T13:02:14Z</dcterms:created>
  <dcterms:modified xsi:type="dcterms:W3CDTF">2025-07-17T10:36:32Z</dcterms:modified>
</cp:coreProperties>
</file>