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omments1.xml" ContentType="application/vnd.openxmlformats-officedocument.spreadsheetml.comments+xml"/>
  <Override PartName="/xl/tables/table10.xml" ContentType="application/vnd.openxmlformats-officedocument.spreadsheetml.table+xml"/>
  <Override PartName="/xl/comments2.xml" ContentType="application/vnd.openxmlformats-officedocument.spreadsheetml.comments+xml"/>
  <Override PartName="/xl/tables/table11.xml" ContentType="application/vnd.openxmlformats-officedocument.spreadsheetml.table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zeeGen\Documents\03 - ITDEVTEAM\Marge\"/>
    </mc:Choice>
  </mc:AlternateContent>
  <bookViews>
    <workbookView xWindow="0" yWindow="0" windowWidth="30000" windowHeight="15840" firstSheet="3" activeTab="13"/>
  </bookViews>
  <sheets>
    <sheet name="Repartition des sociétés" sheetId="16" r:id="rId1"/>
    <sheet name="Synthèse 2024" sheetId="13" r:id="rId2"/>
    <sheet name="Janvier" sheetId="4" r:id="rId3"/>
    <sheet name="Février" sheetId="5" r:id="rId4"/>
    <sheet name="Mars" sheetId="6" r:id="rId5"/>
    <sheet name="Avril" sheetId="7" r:id="rId6"/>
    <sheet name="Mai" sheetId="8" r:id="rId7"/>
    <sheet name="Juin" sheetId="9" r:id="rId8"/>
    <sheet name="Juillet" sheetId="10" r:id="rId9"/>
    <sheet name="Aout" sheetId="11" r:id="rId10"/>
    <sheet name="Septembre" sheetId="12" r:id="rId11"/>
    <sheet name="Ocotbre" sheetId="1" r:id="rId12"/>
    <sheet name="Novembre" sheetId="2" r:id="rId13"/>
    <sheet name="Décembre" sheetId="3" r:id="rId14"/>
    <sheet name="Charge" sheetId="15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5" l="1"/>
  <c r="H20" i="6"/>
  <c r="H21" i="7"/>
  <c r="H21" i="8"/>
  <c r="H21" i="9"/>
  <c r="H23" i="10"/>
  <c r="H22" i="11"/>
  <c r="H23" i="12"/>
  <c r="H22" i="1"/>
  <c r="H23" i="2"/>
  <c r="H26" i="3"/>
  <c r="C20" i="13"/>
  <c r="M12" i="13"/>
  <c r="L12" i="13"/>
  <c r="J12" i="13"/>
  <c r="I12" i="13"/>
  <c r="H12" i="13"/>
  <c r="G12" i="13"/>
  <c r="F12" i="13"/>
  <c r="E12" i="13"/>
  <c r="D12" i="13"/>
  <c r="M7" i="13"/>
  <c r="L7" i="13"/>
  <c r="K7" i="13"/>
  <c r="J7" i="13"/>
  <c r="I7" i="13"/>
  <c r="H7" i="13"/>
  <c r="G7" i="13"/>
  <c r="F7" i="13"/>
  <c r="E7" i="13"/>
  <c r="D7" i="13"/>
  <c r="N12" i="13" l="1"/>
  <c r="N7" i="13"/>
  <c r="E21" i="3" l="1"/>
  <c r="E20" i="2"/>
  <c r="H7" i="12" l="1"/>
  <c r="H8" i="12"/>
  <c r="P22" i="15" l="1"/>
  <c r="N23" i="15"/>
  <c r="P23" i="15" s="1"/>
  <c r="G5" i="1"/>
  <c r="G5" i="2"/>
  <c r="G5" i="3"/>
  <c r="F21" i="3"/>
  <c r="E14" i="7" l="1"/>
  <c r="G15" i="10" l="1"/>
  <c r="G14" i="9"/>
  <c r="G14" i="7"/>
  <c r="G14" i="8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21" i="16"/>
  <c r="G5" i="6"/>
  <c r="G5" i="4"/>
  <c r="F8" i="3" l="1"/>
  <c r="F9" i="3"/>
  <c r="F7" i="3"/>
  <c r="E8" i="3"/>
  <c r="E7" i="3"/>
  <c r="E6" i="3"/>
  <c r="E5" i="3"/>
  <c r="H5" i="3" s="1"/>
  <c r="E9" i="3"/>
  <c r="G5" i="12"/>
  <c r="H5" i="12" s="1"/>
  <c r="G5" i="11"/>
  <c r="G6" i="10"/>
  <c r="G5" i="9"/>
  <c r="G5" i="8"/>
  <c r="G5" i="7"/>
  <c r="G5" i="5"/>
  <c r="N25" i="13"/>
  <c r="P29" i="15"/>
  <c r="P20" i="15"/>
  <c r="E19" i="3" l="1"/>
  <c r="H19" i="3" s="1"/>
  <c r="F9" i="12"/>
  <c r="H9" i="12" s="1"/>
  <c r="F7" i="2"/>
  <c r="F7" i="1"/>
  <c r="F20" i="3"/>
  <c r="H6" i="3"/>
  <c r="H10" i="3" s="1"/>
  <c r="H7" i="3"/>
  <c r="H9" i="3"/>
  <c r="H8" i="3"/>
  <c r="H21" i="3"/>
  <c r="E13" i="3"/>
  <c r="H13" i="3" s="1"/>
  <c r="E20" i="3"/>
  <c r="F17" i="3"/>
  <c r="F17" i="2"/>
  <c r="E17" i="3"/>
  <c r="F18" i="3"/>
  <c r="E18" i="3"/>
  <c r="F22" i="3"/>
  <c r="F20" i="2"/>
  <c r="H20" i="2" s="1"/>
  <c r="E22" i="3"/>
  <c r="F14" i="3"/>
  <c r="E14" i="3"/>
  <c r="F16" i="3"/>
  <c r="E16" i="3"/>
  <c r="F15" i="3"/>
  <c r="E15" i="3"/>
  <c r="H15" i="3" s="1"/>
  <c r="F12" i="3"/>
  <c r="E12" i="3"/>
  <c r="H18" i="3" l="1"/>
  <c r="H14" i="3"/>
  <c r="H16" i="3"/>
  <c r="H17" i="3"/>
  <c r="H12" i="3"/>
  <c r="H22" i="3"/>
  <c r="H20" i="3"/>
  <c r="H23" i="3" l="1"/>
  <c r="N20" i="13" s="1"/>
  <c r="F17" i="1"/>
  <c r="F14" i="12"/>
  <c r="H14" i="12" s="1"/>
  <c r="F14" i="11"/>
  <c r="F16" i="10"/>
  <c r="F15" i="9"/>
  <c r="F15" i="8"/>
  <c r="F15" i="7"/>
  <c r="F14" i="6"/>
  <c r="F14" i="5"/>
  <c r="H7" i="2" l="1"/>
  <c r="F18" i="2"/>
  <c r="F16" i="2"/>
  <c r="F15" i="2"/>
  <c r="F8" i="2"/>
  <c r="F14" i="2"/>
  <c r="F12" i="2"/>
  <c r="E12" i="2"/>
  <c r="H12" i="2" s="1"/>
  <c r="E19" i="2"/>
  <c r="E18" i="2"/>
  <c r="E17" i="2"/>
  <c r="E15" i="2"/>
  <c r="E16" i="2"/>
  <c r="E8" i="2"/>
  <c r="E14" i="2"/>
  <c r="E13" i="2"/>
  <c r="H13" i="2" s="1"/>
  <c r="H6" i="2"/>
  <c r="H19" i="2"/>
  <c r="H5" i="2"/>
  <c r="H5" i="1"/>
  <c r="F9" i="2"/>
  <c r="H9" i="2" s="1"/>
  <c r="H8" i="2" l="1"/>
  <c r="H15" i="2"/>
  <c r="H16" i="2"/>
  <c r="H18" i="2"/>
  <c r="H17" i="2"/>
  <c r="H14" i="2"/>
  <c r="H21" i="2" s="1"/>
  <c r="F19" i="12"/>
  <c r="H19" i="12" s="1"/>
  <c r="F11" i="11"/>
  <c r="F12" i="10"/>
  <c r="H10" i="2" l="1"/>
  <c r="M20" i="13" s="1"/>
  <c r="N8" i="13"/>
  <c r="E19" i="1" l="1"/>
  <c r="E20" i="12"/>
  <c r="H20" i="12" s="1"/>
  <c r="E18" i="12"/>
  <c r="E19" i="11"/>
  <c r="E18" i="11"/>
  <c r="E20" i="10"/>
  <c r="E19" i="10"/>
  <c r="E18" i="9"/>
  <c r="E17" i="9"/>
  <c r="E18" i="8"/>
  <c r="E17" i="8"/>
  <c r="E17" i="7"/>
  <c r="E17" i="6"/>
  <c r="E16" i="6"/>
  <c r="E17" i="5"/>
  <c r="E16" i="5"/>
  <c r="I32" i="15"/>
  <c r="I26" i="13" s="1"/>
  <c r="F18" i="12" l="1"/>
  <c r="H18" i="12" s="1"/>
  <c r="F8" i="1" l="1"/>
  <c r="F11" i="12"/>
  <c r="H11" i="12" s="1"/>
  <c r="F13" i="1"/>
  <c r="F17" i="12"/>
  <c r="H17" i="12" s="1"/>
  <c r="F16" i="12"/>
  <c r="H16" i="12" s="1"/>
  <c r="F15" i="11"/>
  <c r="H15" i="11" s="1"/>
  <c r="E12" i="1" l="1"/>
  <c r="F9" i="1"/>
  <c r="F14" i="1" l="1"/>
  <c r="F18" i="1" l="1"/>
  <c r="F16" i="1"/>
  <c r="F15" i="1"/>
  <c r="E16" i="1"/>
  <c r="E15" i="1"/>
  <c r="E13" i="1"/>
  <c r="E14" i="1"/>
  <c r="E18" i="1"/>
  <c r="E17" i="1"/>
  <c r="L12" i="15" l="1"/>
  <c r="H7" i="1"/>
  <c r="H6" i="1"/>
  <c r="H14" i="1"/>
  <c r="E10" i="12"/>
  <c r="H10" i="12" s="1"/>
  <c r="H9" i="1" l="1"/>
  <c r="H12" i="1"/>
  <c r="H13" i="1"/>
  <c r="H11" i="4"/>
  <c r="H10" i="4"/>
  <c r="H9" i="4"/>
  <c r="H8" i="4"/>
  <c r="H7" i="4"/>
  <c r="H15" i="1" l="1"/>
  <c r="H16" i="1"/>
  <c r="H8" i="1"/>
  <c r="K23" i="15"/>
  <c r="K25" i="13" s="1"/>
  <c r="H10" i="1" l="1"/>
  <c r="H18" i="1"/>
  <c r="H17" i="1"/>
  <c r="H20" i="1" s="1"/>
  <c r="H19" i="1"/>
  <c r="H19" i="11"/>
  <c r="H18" i="11"/>
  <c r="H20" i="10"/>
  <c r="H19" i="10"/>
  <c r="H18" i="9"/>
  <c r="H17" i="9"/>
  <c r="H18" i="8"/>
  <c r="H17" i="8"/>
  <c r="E18" i="7"/>
  <c r="H18" i="7" s="1"/>
  <c r="H17" i="7"/>
  <c r="H17" i="6"/>
  <c r="H16" i="6"/>
  <c r="H17" i="5"/>
  <c r="H16" i="5"/>
  <c r="L20" i="13" l="1"/>
  <c r="F6" i="12"/>
  <c r="H6" i="12" s="1"/>
  <c r="F7" i="11"/>
  <c r="H12" i="12" l="1"/>
  <c r="F15" i="12"/>
  <c r="H15" i="12" s="1"/>
  <c r="H21" i="12" s="1"/>
  <c r="P7" i="15"/>
  <c r="F10" i="11"/>
  <c r="F17" i="11"/>
  <c r="H17" i="11" s="1"/>
  <c r="K8" i="13"/>
  <c r="H5" i="11"/>
  <c r="K12" i="13" l="1"/>
  <c r="K20" i="13"/>
  <c r="C23" i="15"/>
  <c r="C25" i="13" l="1"/>
  <c r="F16" i="11"/>
  <c r="E16" i="11"/>
  <c r="F17" i="10"/>
  <c r="E17" i="10"/>
  <c r="H17" i="10" s="1"/>
  <c r="E16" i="9"/>
  <c r="E16" i="8"/>
  <c r="E16" i="7"/>
  <c r="E15" i="6"/>
  <c r="P27" i="15"/>
  <c r="P28" i="15"/>
  <c r="P30" i="15"/>
  <c r="P31" i="15"/>
  <c r="P8" i="15" l="1"/>
  <c r="P11" i="15"/>
  <c r="P13" i="15"/>
  <c r="P14" i="15"/>
  <c r="P15" i="15"/>
  <c r="P16" i="15"/>
  <c r="P17" i="15"/>
  <c r="P18" i="15"/>
  <c r="P19" i="15"/>
  <c r="P21" i="15"/>
  <c r="P6" i="15"/>
  <c r="F23" i="15"/>
  <c r="F25" i="13" s="1"/>
  <c r="G23" i="15"/>
  <c r="G25" i="13" s="1"/>
  <c r="J23" i="15"/>
  <c r="J25" i="13" s="1"/>
  <c r="L23" i="15"/>
  <c r="L25" i="13" s="1"/>
  <c r="L8" i="13" s="1"/>
  <c r="M23" i="15"/>
  <c r="M25" i="13" s="1"/>
  <c r="M8" i="13" s="1"/>
  <c r="D32" i="15"/>
  <c r="D26" i="13" s="1"/>
  <c r="E32" i="15"/>
  <c r="E26" i="13" s="1"/>
  <c r="G32" i="15"/>
  <c r="G26" i="13" s="1"/>
  <c r="H32" i="15"/>
  <c r="H26" i="13" s="1"/>
  <c r="J32" i="15"/>
  <c r="J26" i="13" s="1"/>
  <c r="K32" i="15"/>
  <c r="K26" i="13" s="1"/>
  <c r="K13" i="13" s="1"/>
  <c r="K21" i="13" s="1"/>
  <c r="L32" i="15"/>
  <c r="L26" i="13" s="1"/>
  <c r="L13" i="13" s="1"/>
  <c r="M32" i="15"/>
  <c r="N32" i="15"/>
  <c r="C32" i="15"/>
  <c r="F18" i="10"/>
  <c r="H18" i="10" s="1"/>
  <c r="F32" i="15"/>
  <c r="F26" i="13" s="1"/>
  <c r="P32" i="15" l="1"/>
  <c r="N26" i="13"/>
  <c r="N13" i="13" s="1"/>
  <c r="N21" i="13" s="1"/>
  <c r="N34" i="15"/>
  <c r="N27" i="13" s="1"/>
  <c r="C26" i="13"/>
  <c r="C13" i="13" s="1"/>
  <c r="C34" i="15"/>
  <c r="C27" i="13" s="1"/>
  <c r="M34" i="15"/>
  <c r="M27" i="13" s="1"/>
  <c r="M26" i="13"/>
  <c r="M13" i="13" s="1"/>
  <c r="M21" i="13" s="1"/>
  <c r="L21" i="13"/>
  <c r="L34" i="15"/>
  <c r="L27" i="13" s="1"/>
  <c r="F34" i="15"/>
  <c r="F27" i="13" s="1"/>
  <c r="K34" i="15"/>
  <c r="K27" i="13" s="1"/>
  <c r="G34" i="15"/>
  <c r="G27" i="13" s="1"/>
  <c r="J34" i="15"/>
  <c r="J27" i="13" s="1"/>
  <c r="I12" i="15"/>
  <c r="I23" i="15" s="1"/>
  <c r="H12" i="15"/>
  <c r="H23" i="15" s="1"/>
  <c r="H25" i="13" s="1"/>
  <c r="D12" i="15"/>
  <c r="D23" i="15" s="1"/>
  <c r="D25" i="13" s="1"/>
  <c r="E9" i="15"/>
  <c r="E23" i="15" s="1"/>
  <c r="E25" i="13" s="1"/>
  <c r="O26" i="13" l="1"/>
  <c r="I25" i="13"/>
  <c r="O25" i="13" s="1"/>
  <c r="I34" i="15"/>
  <c r="I27" i="13" s="1"/>
  <c r="D34" i="15"/>
  <c r="D27" i="13" s="1"/>
  <c r="H34" i="15"/>
  <c r="H27" i="13" s="1"/>
  <c r="P9" i="15"/>
  <c r="E34" i="15"/>
  <c r="E27" i="13" s="1"/>
  <c r="P12" i="15"/>
  <c r="H15" i="10"/>
  <c r="H14" i="9"/>
  <c r="H16" i="11"/>
  <c r="H14" i="11"/>
  <c r="H20" i="11" s="1"/>
  <c r="E7" i="10"/>
  <c r="H7" i="10"/>
  <c r="H16" i="10"/>
  <c r="F16" i="9"/>
  <c r="H15" i="9"/>
  <c r="H14" i="8"/>
  <c r="F16" i="8"/>
  <c r="H15" i="8"/>
  <c r="F16" i="7"/>
  <c r="H16" i="7" s="1"/>
  <c r="H15" i="7"/>
  <c r="F15" i="6"/>
  <c r="H15" i="6" s="1"/>
  <c r="H14" i="6"/>
  <c r="H18" i="6" s="1"/>
  <c r="F15" i="5"/>
  <c r="H15" i="5" s="1"/>
  <c r="H14" i="5"/>
  <c r="H18" i="5" s="1"/>
  <c r="I13" i="13" l="1"/>
  <c r="H21" i="10"/>
  <c r="O27" i="13"/>
  <c r="J13" i="13"/>
  <c r="H16" i="9"/>
  <c r="H13" i="13" s="1"/>
  <c r="G13" i="13"/>
  <c r="E13" i="13"/>
  <c r="D13" i="13"/>
  <c r="H16" i="8"/>
  <c r="H19" i="8" s="1"/>
  <c r="F11" i="10"/>
  <c r="H11" i="10" s="1"/>
  <c r="H19" i="9" l="1"/>
  <c r="H7" i="11"/>
  <c r="H8" i="11"/>
  <c r="H9" i="11"/>
  <c r="H10" i="11"/>
  <c r="H8" i="10"/>
  <c r="H9" i="10"/>
  <c r="H10" i="10"/>
  <c r="H12" i="10"/>
  <c r="H8" i="9"/>
  <c r="H9" i="9"/>
  <c r="H10" i="9"/>
  <c r="H8" i="8"/>
  <c r="H9" i="8"/>
  <c r="H10" i="8"/>
  <c r="H8" i="7"/>
  <c r="H9" i="7"/>
  <c r="H10" i="7"/>
  <c r="H8" i="6"/>
  <c r="H9" i="6"/>
  <c r="H10" i="6"/>
  <c r="H11" i="6"/>
  <c r="F11" i="9"/>
  <c r="H11" i="9" s="1"/>
  <c r="F11" i="8"/>
  <c r="H11" i="8" s="1"/>
  <c r="F11" i="7"/>
  <c r="H11" i="7" s="1"/>
  <c r="H9" i="5"/>
  <c r="H6" i="10"/>
  <c r="H5" i="9"/>
  <c r="H12" i="9" s="1"/>
  <c r="H5" i="8"/>
  <c r="H5" i="4"/>
  <c r="H5" i="6"/>
  <c r="H12" i="6" s="1"/>
  <c r="E6" i="11"/>
  <c r="H6" i="11" s="1"/>
  <c r="E11" i="11"/>
  <c r="H11" i="11" s="1"/>
  <c r="E7" i="9"/>
  <c r="H7" i="9" s="1"/>
  <c r="E6" i="9"/>
  <c r="H6" i="9" s="1"/>
  <c r="E7" i="8"/>
  <c r="H7" i="8" s="1"/>
  <c r="E6" i="8"/>
  <c r="H6" i="8" s="1"/>
  <c r="E7" i="7"/>
  <c r="H7" i="7" s="1"/>
  <c r="E6" i="7"/>
  <c r="H6" i="7" s="1"/>
  <c r="E6" i="4"/>
  <c r="H6" i="4" s="1"/>
  <c r="E6" i="5"/>
  <c r="E7" i="6"/>
  <c r="H7" i="6" s="1"/>
  <c r="E6" i="6"/>
  <c r="H6" i="6" s="1"/>
  <c r="H12" i="8" l="1"/>
  <c r="H13" i="10"/>
  <c r="H12" i="11"/>
  <c r="E20" i="13"/>
  <c r="J8" i="13"/>
  <c r="J21" i="13" s="1"/>
  <c r="I8" i="13"/>
  <c r="I21" i="13" s="1"/>
  <c r="H14" i="4"/>
  <c r="H8" i="13"/>
  <c r="H21" i="13" s="1"/>
  <c r="G8" i="13"/>
  <c r="G21" i="13" s="1"/>
  <c r="E8" i="13"/>
  <c r="E21" i="13" s="1"/>
  <c r="H5" i="7"/>
  <c r="H12" i="7" s="1"/>
  <c r="H11" i="5"/>
  <c r="H6" i="5"/>
  <c r="H7" i="5"/>
  <c r="H8" i="5"/>
  <c r="H10" i="5"/>
  <c r="H5" i="5"/>
  <c r="H12" i="5" l="1"/>
  <c r="D8" i="13"/>
  <c r="D21" i="13" s="1"/>
  <c r="C7" i="13"/>
  <c r="C8" i="13" s="1"/>
  <c r="C21" i="13" s="1"/>
  <c r="F8" i="13"/>
  <c r="H14" i="7"/>
  <c r="H19" i="7" s="1"/>
  <c r="F13" i="13" l="1"/>
  <c r="O13" i="13" s="1"/>
  <c r="O7" i="13"/>
  <c r="O12" i="13" l="1"/>
  <c r="F21" i="13"/>
  <c r="O21" i="13" s="1"/>
  <c r="J20" i="13"/>
  <c r="I20" i="13"/>
  <c r="H20" i="13" l="1"/>
  <c r="F20" i="13"/>
  <c r="G20" i="13" l="1"/>
  <c r="D20" i="13" l="1"/>
  <c r="O20" i="13" l="1"/>
  <c r="O8" i="13" l="1"/>
</calcChain>
</file>

<file path=xl/comments1.xml><?xml version="1.0" encoding="utf-8"?>
<comments xmlns="http://schemas.openxmlformats.org/spreadsheetml/2006/main">
  <authors>
    <author>Sadok</author>
  </authors>
  <commentList>
    <comment ref="F11" authorId="0" shapeId="0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comission iodev</t>
        </r>
      </text>
    </comment>
  </commentList>
</comments>
</file>

<file path=xl/comments2.xml><?xml version="1.0" encoding="utf-8"?>
<comments xmlns="http://schemas.openxmlformats.org/spreadsheetml/2006/main">
  <authors>
    <author>Sadok</author>
  </authors>
  <commentList>
    <comment ref="F19" authorId="0" shapeId="0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prestation youssef + iodev</t>
        </r>
      </text>
    </comment>
  </commentList>
</comments>
</file>

<file path=xl/comments3.xml><?xml version="1.0" encoding="utf-8"?>
<comments xmlns="http://schemas.openxmlformats.org/spreadsheetml/2006/main">
  <authors>
    <author>Sadok</author>
  </authors>
  <commentList>
    <comment ref="F12" authorId="0" shapeId="0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prestation youssef + prime iodev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prestation oussama + prime marouene</t>
        </r>
      </text>
    </comment>
  </commentList>
</comments>
</file>

<file path=xl/sharedStrings.xml><?xml version="1.0" encoding="utf-8"?>
<sst xmlns="http://schemas.openxmlformats.org/spreadsheetml/2006/main" count="630" uniqueCount="121">
  <si>
    <t>consultant</t>
  </si>
  <si>
    <t>Salariés</t>
  </si>
  <si>
    <t>Sous-traitant</t>
  </si>
  <si>
    <t>facturation client HT</t>
  </si>
  <si>
    <t>facturation Fournisseur HT</t>
  </si>
  <si>
    <t>Marge nette</t>
  </si>
  <si>
    <t>Marge totale du mois</t>
  </si>
  <si>
    <t>Janvier</t>
  </si>
  <si>
    <t>Février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</si>
  <si>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</si>
  <si>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</si>
  <si>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</si>
  <si>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</si>
  <si>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</si>
  <si>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</si>
  <si>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</si>
  <si>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</si>
  <si>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 xml:space="preserve">Novembre </t>
  </si>
  <si>
    <t>Décembre</t>
  </si>
  <si>
    <t>Total</t>
  </si>
  <si>
    <t>Rania MTAALLAH</t>
  </si>
  <si>
    <t>Hicham ANBRI</t>
  </si>
  <si>
    <t>Hamza TOUHAMI</t>
  </si>
  <si>
    <t>Haythem HAMZAOUI</t>
  </si>
  <si>
    <t>AlaEddine AYARI</t>
  </si>
  <si>
    <t>Taux de change =</t>
  </si>
  <si>
    <t>Nawres BELHOULA</t>
  </si>
  <si>
    <t xml:space="preserve"> Salaire NET</t>
  </si>
  <si>
    <t>Youssef GHALLEB</t>
  </si>
  <si>
    <t>Loyer</t>
  </si>
  <si>
    <t>Oussama BEN DERMECH</t>
  </si>
  <si>
    <t>Ahmed RIHANI</t>
  </si>
  <si>
    <t>Yosra MABROUKI</t>
  </si>
  <si>
    <t>EZEEGENAI</t>
  </si>
  <si>
    <t>ITDEVTEAM</t>
  </si>
  <si>
    <t xml:space="preserve"> ITDEVTEAM </t>
  </si>
  <si>
    <t xml:space="preserve">  ITDEVTEAM  </t>
  </si>
  <si>
    <t xml:space="preserve"> EZEEGENAI </t>
  </si>
  <si>
    <t>Août</t>
  </si>
  <si>
    <t>Novembre</t>
  </si>
  <si>
    <t xml:space="preserve">Déclaration Mensuelle </t>
  </si>
  <si>
    <t>Cnss</t>
  </si>
  <si>
    <t>Charge itdevteam</t>
  </si>
  <si>
    <t>Sonede</t>
  </si>
  <si>
    <t xml:space="preserve">Orange </t>
  </si>
  <si>
    <t>Steg</t>
  </si>
  <si>
    <t>TOTAL</t>
  </si>
  <si>
    <t>Resto</t>
  </si>
  <si>
    <t>MYTEK</t>
  </si>
  <si>
    <t>YASSINE PACK</t>
  </si>
  <si>
    <t>Presto Service</t>
  </si>
  <si>
    <t>Géant</t>
  </si>
  <si>
    <t>edito</t>
  </si>
  <si>
    <t>Charge ezeegenai</t>
  </si>
  <si>
    <t>PLUXEE</t>
  </si>
  <si>
    <t>Salaire Ons</t>
  </si>
  <si>
    <t>TOTAL ITDEVTEAM</t>
  </si>
  <si>
    <t>TOTAL EZEEGENAI</t>
  </si>
  <si>
    <t>TEKABDEV</t>
  </si>
  <si>
    <t xml:space="preserve">TOTAL CHARGES </t>
  </si>
  <si>
    <t>Société</t>
  </si>
  <si>
    <t>Ezee Gen Ai</t>
  </si>
  <si>
    <t>Marge Brut ITDEVTEAM</t>
  </si>
  <si>
    <t>Marge Brut EZEEGENAI</t>
  </si>
  <si>
    <t xml:space="preserve"> CHARGES ITDEVTEAM</t>
  </si>
  <si>
    <t xml:space="preserve"> CHARGES EZEEGENAI</t>
  </si>
  <si>
    <t>Marge Nette ITDEVTEAM</t>
  </si>
  <si>
    <t>Marge Nette EZEEGENAI</t>
  </si>
  <si>
    <t>FOLIES SUCREES</t>
  </si>
  <si>
    <t>Ameni EL ABED</t>
  </si>
  <si>
    <t xml:space="preserve">EZEEGENAI </t>
  </si>
  <si>
    <t>Sofien OUNI</t>
  </si>
  <si>
    <t>Amina ABDELKAFI (IPD)</t>
  </si>
  <si>
    <t>Amina ABDELKAFI (CARREFOUR)</t>
  </si>
  <si>
    <t xml:space="preserve"> Amina ABDELKAFI (ste sokamar)</t>
  </si>
  <si>
    <t>frais comptable</t>
  </si>
  <si>
    <t>Marge Nette totale</t>
  </si>
  <si>
    <t>Acompte bilan prévisionnel</t>
  </si>
  <si>
    <t>Ons HARRABI</t>
  </si>
  <si>
    <t>Rim CHAARI</t>
  </si>
  <si>
    <t>Karim LOUATI</t>
  </si>
  <si>
    <t>tunisie autoroutes</t>
  </si>
  <si>
    <t>IT DEV TEAM</t>
  </si>
  <si>
    <t>Fournisseur</t>
  </si>
  <si>
    <t>Client</t>
  </si>
  <si>
    <t>Cooptation</t>
  </si>
  <si>
    <t xml:space="preserve">Alaeddine AYARI </t>
  </si>
  <si>
    <t>CLEVERMIND</t>
  </si>
  <si>
    <t>Teamsyst</t>
  </si>
  <si>
    <t>CLEVERSET</t>
  </si>
  <si>
    <t>STARK</t>
  </si>
  <si>
    <t xml:space="preserve">Ons HARRABI </t>
  </si>
  <si>
    <t>Salaire</t>
  </si>
  <si>
    <t>Rania MTAALAH</t>
  </si>
  <si>
    <t>Sa propre Boite</t>
  </si>
  <si>
    <t>NEXTWARE</t>
  </si>
  <si>
    <t>TEKAB DEV</t>
  </si>
  <si>
    <t>Amina ABDELKAFI</t>
  </si>
  <si>
    <t>Mohamed ELLOUZE</t>
  </si>
  <si>
    <t>INFOBIA</t>
  </si>
  <si>
    <t>Nawress BELHOULA</t>
  </si>
  <si>
    <t>BACAB</t>
  </si>
  <si>
    <t>Ameni ELABED</t>
  </si>
  <si>
    <t>Youssef GHALLEB / IODEV</t>
  </si>
  <si>
    <t>DORCYWAY</t>
  </si>
  <si>
    <t>CODE GATE / DATUM</t>
  </si>
  <si>
    <t>tjm client</t>
  </si>
  <si>
    <t>tjm fournisseur</t>
  </si>
  <si>
    <t>marge / jours</t>
  </si>
  <si>
    <t>Amina ABDELKAFI IPD</t>
  </si>
  <si>
    <t>Amina ABDELKAFI carrefour</t>
  </si>
  <si>
    <t>aporteur affaire</t>
  </si>
  <si>
    <t>charge pour salaire rania = cnss = 1557; IRPP = 1154,798; contribution sociale = 21,820</t>
  </si>
  <si>
    <t>charge pour salaire(+prime fin d'année) rania = cnss = 1557; IRPP = 1154,798+871,817; contribution sociale = 21,820+13,619</t>
  </si>
  <si>
    <t>Salaire MAHMOUD</t>
  </si>
  <si>
    <t>MARGE BRUTE = MARGE FACTURATION SANS CHARGE</t>
  </si>
  <si>
    <t>MARGE NETTE = MARGE BRUTE - CHARGES</t>
  </si>
  <si>
    <t>vente sur itdev team</t>
  </si>
  <si>
    <t xml:space="preserve">achat sur ezeegen </t>
  </si>
  <si>
    <t>à jours le 14/01/2025</t>
  </si>
  <si>
    <t>Marge Brut 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</si>
</sst>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0\ _€_-;\-* #,##0.000\ _€_-;_-* &quot;-&quot;??\ _€_-;_-@_-"/>
  </numFmts>
  <fonts count="4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i/>
      <sz val="11"/>
      <color rgb="FF9C0006"/>
      <name val="Calibri"/>
      <family val="2"/>
      <scheme val="minor"/>
    </font>
    <font>
      <b/>
      <i/>
      <sz val="11"/>
      <color rgb="FF00610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2"/>
      <color rgb="FFFFFFFF"/>
      <name val="Calibri"/>
      <family val="2"/>
      <scheme val="minor"/>
    </font>
    <font>
      <b/>
      <sz val="11"/>
      <color rgb="FF44546A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rgb="FF0061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61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rgb="FF44546A"/>
      <name val="Calibri"/>
      <family val="2"/>
      <scheme val="minor"/>
    </font>
  </fonts>
  <fills count="5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2F75B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9D08E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rgb="FF000000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44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9" fillId="0" borderId="10" applyNumberFormat="0" applyFill="0" applyAlignment="0" applyProtection="0"/>
    <xf numFmtId="0" fontId="9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1" applyNumberFormat="0" applyAlignment="0" applyProtection="0"/>
    <xf numFmtId="0" fontId="20" fillId="15" borderId="12" applyNumberFormat="0" applyAlignment="0" applyProtection="0"/>
    <xf numFmtId="0" fontId="21" fillId="15" borderId="11" applyNumberFormat="0" applyAlignment="0" applyProtection="0"/>
    <xf numFmtId="0" fontId="22" fillId="0" borderId="13" applyNumberFormat="0" applyFill="0" applyAlignment="0" applyProtection="0"/>
    <xf numFmtId="0" fontId="23" fillId="16" borderId="14" applyNumberFormat="0" applyAlignment="0" applyProtection="0"/>
    <xf numFmtId="0" fontId="24" fillId="0" borderId="0" applyNumberFormat="0" applyFill="0" applyBorder="0" applyAlignment="0" applyProtection="0"/>
    <xf numFmtId="0" fontId="2" fillId="17" borderId="15" applyNumberFormat="0" applyFont="0" applyAlignment="0" applyProtection="0"/>
    <xf numFmtId="0" fontId="25" fillId="0" borderId="0" applyNumberFormat="0" applyFill="0" applyBorder="0" applyAlignment="0" applyProtection="0"/>
    <xf numFmtId="0" fontId="3" fillId="0" borderId="16" applyNumberFormat="0" applyFill="0" applyAlignment="0" applyProtection="0"/>
    <xf numFmtId="0" fontId="26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6" fillId="33" borderId="0" applyNumberFormat="0" applyBorder="0" applyAlignment="0" applyProtection="0"/>
    <xf numFmtId="0" fontId="26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6" fillId="41" borderId="0" applyNumberFormat="0" applyBorder="0" applyAlignment="0" applyProtection="0"/>
    <xf numFmtId="43" fontId="2" fillId="0" borderId="0" applyFont="0" applyFill="0" applyBorder="0" applyAlignment="0" applyProtection="0"/>
  </cellStyleXfs>
  <cellXfs count="136">
    <xf numFmtId="0" fontId="0" fillId="0" borderId="0" xfId="0"/>
    <xf numFmtId="0" fontId="1" fillId="2" borderId="0" xfId="0" quotePrefix="1" applyNumberFormat="1" applyFont="1" applyFill="1" applyBorder="1" applyAlignment="1" applyProtection="1"/>
    <xf numFmtId="0" fontId="0" fillId="0" borderId="0" xfId="0" applyBorder="1"/>
    <xf numFmtId="0" fontId="5" fillId="3" borderId="1" xfId="0" applyFont="1" applyFill="1" applyBorder="1" applyAlignment="1">
      <alignment horizontal="center" vertical="center"/>
    </xf>
    <xf numFmtId="0" fontId="6" fillId="4" borderId="2" xfId="0" applyFont="1" applyFill="1" applyBorder="1"/>
    <xf numFmtId="0" fontId="7" fillId="3" borderId="3" xfId="0" applyFont="1" applyFill="1" applyBorder="1"/>
    <xf numFmtId="44" fontId="8" fillId="3" borderId="4" xfId="1" applyFont="1" applyFill="1" applyBorder="1"/>
    <xf numFmtId="0" fontId="3" fillId="5" borderId="3" xfId="0" applyFont="1" applyFill="1" applyBorder="1"/>
    <xf numFmtId="0" fontId="3" fillId="6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44" fontId="0" fillId="0" borderId="0" xfId="0" applyNumberFormat="1"/>
    <xf numFmtId="0" fontId="12" fillId="8" borderId="1" xfId="0" applyFont="1" applyFill="1" applyBorder="1" applyAlignment="1">
      <alignment horizontal="center" vertical="center"/>
    </xf>
    <xf numFmtId="44" fontId="11" fillId="9" borderId="4" xfId="0" applyNumberFormat="1" applyFont="1" applyFill="1" applyBorder="1"/>
    <xf numFmtId="44" fontId="10" fillId="10" borderId="4" xfId="0" applyNumberFormat="1" applyFont="1" applyFill="1" applyBorder="1"/>
    <xf numFmtId="0" fontId="0" fillId="0" borderId="0" xfId="0" applyAlignment="1">
      <alignment horizontal="left"/>
    </xf>
    <xf numFmtId="44" fontId="4" fillId="7" borderId="6" xfId="1" applyFont="1" applyFill="1" applyBorder="1" applyAlignment="1">
      <alignment vertical="center"/>
    </xf>
    <xf numFmtId="0" fontId="12" fillId="8" borderId="1" xfId="0" applyFont="1" applyFill="1" applyBorder="1" applyAlignment="1">
      <alignment horizontal="left" vertical="center"/>
    </xf>
    <xf numFmtId="0" fontId="3" fillId="5" borderId="17" xfId="0" applyFont="1" applyFill="1" applyBorder="1"/>
    <xf numFmtId="44" fontId="4" fillId="7" borderId="6" xfId="1" applyFont="1" applyFill="1" applyBorder="1" applyAlignment="1">
      <alignment horizontal="center" vertical="center"/>
    </xf>
    <xf numFmtId="0" fontId="27" fillId="42" borderId="2" xfId="0" applyFont="1" applyFill="1" applyBorder="1"/>
    <xf numFmtId="0" fontId="28" fillId="43" borderId="3" xfId="0" applyFont="1" applyFill="1" applyBorder="1"/>
    <xf numFmtId="0" fontId="28" fillId="43" borderId="17" xfId="0" applyFont="1" applyFill="1" applyBorder="1"/>
    <xf numFmtId="0" fontId="29" fillId="8" borderId="3" xfId="0" applyFont="1" applyFill="1" applyBorder="1"/>
    <xf numFmtId="0" fontId="12" fillId="8" borderId="18" xfId="0" applyFont="1" applyFill="1" applyBorder="1" applyAlignment="1">
      <alignment horizontal="center" vertical="center"/>
    </xf>
    <xf numFmtId="0" fontId="29" fillId="8" borderId="19" xfId="0" applyFont="1" applyFill="1" applyBorder="1"/>
    <xf numFmtId="44" fontId="8" fillId="3" borderId="20" xfId="1" applyFont="1" applyFill="1" applyBorder="1"/>
    <xf numFmtId="0" fontId="3" fillId="44" borderId="4" xfId="0" applyFont="1" applyFill="1" applyBorder="1"/>
    <xf numFmtId="0" fontId="3" fillId="44" borderId="4" xfId="0" applyFont="1" applyFill="1" applyBorder="1" applyAlignment="1">
      <alignment horizontal="center" vertical="center"/>
    </xf>
    <xf numFmtId="0" fontId="3" fillId="46" borderId="4" xfId="0" applyFont="1" applyFill="1" applyBorder="1"/>
    <xf numFmtId="0" fontId="3" fillId="47" borderId="4" xfId="0" applyFont="1" applyFill="1" applyBorder="1"/>
    <xf numFmtId="0" fontId="7" fillId="3" borderId="19" xfId="0" applyFont="1" applyFill="1" applyBorder="1"/>
    <xf numFmtId="0" fontId="5" fillId="3" borderId="21" xfId="0" applyFont="1" applyFill="1" applyBorder="1" applyAlignment="1">
      <alignment horizontal="left" vertical="center"/>
    </xf>
    <xf numFmtId="44" fontId="11" fillId="9" borderId="22" xfId="0" applyNumberFormat="1" applyFont="1" applyFill="1" applyBorder="1"/>
    <xf numFmtId="44" fontId="8" fillId="3" borderId="22" xfId="1" applyFont="1" applyFill="1" applyBorder="1"/>
    <xf numFmtId="0" fontId="3" fillId="48" borderId="4" xfId="0" applyFont="1" applyFill="1" applyBorder="1"/>
    <xf numFmtId="0" fontId="3" fillId="49" borderId="4" xfId="0" applyFont="1" applyFill="1" applyBorder="1"/>
    <xf numFmtId="0" fontId="24" fillId="0" borderId="0" xfId="0" applyFont="1"/>
    <xf numFmtId="164" fontId="0" fillId="0" borderId="4" xfId="43" applyNumberFormat="1" applyFont="1" applyBorder="1"/>
    <xf numFmtId="164" fontId="0" fillId="48" borderId="4" xfId="43" applyNumberFormat="1" applyFont="1" applyFill="1" applyBorder="1"/>
    <xf numFmtId="164" fontId="0" fillId="0" borderId="0" xfId="43" applyNumberFormat="1" applyFont="1"/>
    <xf numFmtId="164" fontId="3" fillId="47" borderId="4" xfId="43" applyNumberFormat="1" applyFont="1" applyFill="1" applyBorder="1" applyAlignment="1">
      <alignment horizontal="center" vertical="center"/>
    </xf>
    <xf numFmtId="164" fontId="0" fillId="49" borderId="4" xfId="43" applyNumberFormat="1" applyFont="1" applyFill="1" applyBorder="1"/>
    <xf numFmtId="0" fontId="3" fillId="45" borderId="4" xfId="0" applyFont="1" applyFill="1" applyBorder="1"/>
    <xf numFmtId="164" fontId="3" fillId="45" borderId="4" xfId="43" applyNumberFormat="1" applyFont="1" applyFill="1" applyBorder="1"/>
    <xf numFmtId="164" fontId="3" fillId="47" borderId="4" xfId="43" applyNumberFormat="1" applyFont="1" applyFill="1" applyBorder="1"/>
    <xf numFmtId="44" fontId="32" fillId="9" borderId="22" xfId="0" applyNumberFormat="1" applyFont="1" applyFill="1" applyBorder="1"/>
    <xf numFmtId="44" fontId="33" fillId="3" borderId="22" xfId="1" applyFont="1" applyFill="1" applyBorder="1"/>
    <xf numFmtId="44" fontId="4" fillId="7" borderId="6" xfId="1" applyFont="1" applyFill="1" applyBorder="1" applyAlignment="1">
      <alignment horizontal="center" vertical="center"/>
    </xf>
    <xf numFmtId="44" fontId="11" fillId="9" borderId="4" xfId="1" applyNumberFormat="1" applyFont="1" applyFill="1" applyBorder="1"/>
    <xf numFmtId="0" fontId="31" fillId="3" borderId="1" xfId="0" applyFont="1" applyFill="1" applyBorder="1" applyAlignment="1">
      <alignment horizontal="left" vertical="center"/>
    </xf>
    <xf numFmtId="44" fontId="4" fillId="7" borderId="6" xfId="1" applyFont="1" applyFill="1" applyBorder="1" applyAlignment="1">
      <alignment horizontal="center" vertical="center"/>
    </xf>
    <xf numFmtId="44" fontId="8" fillId="3" borderId="4" xfId="1" applyNumberFormat="1" applyFont="1" applyFill="1" applyBorder="1"/>
    <xf numFmtId="44" fontId="34" fillId="9" borderId="4" xfId="1" applyNumberFormat="1" applyFont="1" applyFill="1" applyBorder="1"/>
    <xf numFmtId="44" fontId="35" fillId="3" borderId="4" xfId="1" applyNumberFormat="1" applyFont="1" applyFill="1" applyBorder="1"/>
    <xf numFmtId="44" fontId="35" fillId="3" borderId="20" xfId="1" applyFont="1" applyFill="1" applyBorder="1"/>
    <xf numFmtId="0" fontId="36" fillId="3" borderId="1" xfId="0" applyFont="1" applyFill="1" applyBorder="1" applyAlignment="1">
      <alignment horizontal="left" vertical="center"/>
    </xf>
    <xf numFmtId="44" fontId="35" fillId="3" borderId="4" xfId="1" applyFont="1" applyFill="1" applyBorder="1"/>
    <xf numFmtId="0" fontId="37" fillId="50" borderId="0" xfId="0" applyFont="1" applyFill="1"/>
    <xf numFmtId="44" fontId="3" fillId="3" borderId="4" xfId="1" applyFont="1" applyFill="1" applyBorder="1"/>
    <xf numFmtId="44" fontId="4" fillId="7" borderId="6" xfId="1" applyFont="1" applyFill="1" applyBorder="1" applyAlignment="1">
      <alignment horizontal="center" vertical="center"/>
    </xf>
    <xf numFmtId="0" fontId="0" fillId="51" borderId="4" xfId="0" applyFill="1" applyBorder="1"/>
    <xf numFmtId="0" fontId="0" fillId="51" borderId="4" xfId="0" applyFill="1" applyBorder="1" applyAlignment="1">
      <alignment horizontal="center" vertical="center"/>
    </xf>
    <xf numFmtId="0" fontId="0" fillId="51" borderId="4" xfId="0" applyFill="1" applyBorder="1" applyAlignment="1">
      <alignment horizontal="center"/>
    </xf>
    <xf numFmtId="11" fontId="0" fillId="0" borderId="25" xfId="0" applyNumberFormat="1" applyFill="1" applyBorder="1"/>
    <xf numFmtId="11" fontId="0" fillId="0" borderId="26" xfId="0" applyNumberFormat="1" applyFill="1" applyBorder="1"/>
    <xf numFmtId="11" fontId="0" fillId="0" borderId="27" xfId="0" applyNumberFormat="1" applyFill="1" applyBorder="1"/>
    <xf numFmtId="11" fontId="0" fillId="0" borderId="28" xfId="0" applyNumberFormat="1" applyFill="1" applyBorder="1"/>
    <xf numFmtId="2" fontId="0" fillId="0" borderId="4" xfId="0" applyNumberFormat="1" applyFill="1" applyBorder="1"/>
    <xf numFmtId="11" fontId="0" fillId="0" borderId="4" xfId="0" applyNumberFormat="1" applyFill="1" applyBorder="1"/>
    <xf numFmtId="11" fontId="0" fillId="0" borderId="29" xfId="0" applyNumberFormat="1" applyFill="1" applyBorder="1"/>
    <xf numFmtId="2" fontId="0" fillId="0" borderId="22" xfId="0" applyNumberFormat="1" applyFill="1" applyBorder="1"/>
    <xf numFmtId="11" fontId="0" fillId="0" borderId="20" xfId="0" applyNumberFormat="1" applyFill="1" applyBorder="1"/>
    <xf numFmtId="2" fontId="0" fillId="0" borderId="20" xfId="0" applyNumberFormat="1" applyFill="1" applyBorder="1"/>
    <xf numFmtId="2" fontId="0" fillId="0" borderId="30" xfId="0" applyNumberFormat="1" applyFill="1" applyBorder="1"/>
    <xf numFmtId="0" fontId="1" fillId="2" borderId="0" xfId="0" quotePrefix="1" applyNumberFormat="1" applyFont="1" applyFill="1" applyBorder="1" applyAlignment="1" applyProtection="1">
      <alignment wrapText="1"/>
    </xf>
    <xf numFmtId="0" fontId="7" fillId="52" borderId="0" xfId="0" applyFont="1" applyFill="1" applyBorder="1"/>
    <xf numFmtId="0" fontId="40" fillId="0" borderId="0" xfId="0" applyFont="1"/>
    <xf numFmtId="0" fontId="3" fillId="0" borderId="0" xfId="0" applyFont="1"/>
    <xf numFmtId="0" fontId="41" fillId="45" borderId="1" xfId="0" applyFont="1" applyFill="1" applyBorder="1" applyAlignment="1">
      <alignment horizontal="left" vertical="center"/>
    </xf>
    <xf numFmtId="0" fontId="41" fillId="45" borderId="21" xfId="0" applyFont="1" applyFill="1" applyBorder="1" applyAlignment="1">
      <alignment horizontal="left" vertical="center"/>
    </xf>
    <xf numFmtId="0" fontId="3" fillId="0" borderId="20" xfId="0" applyNumberFormat="1" applyFont="1" applyFill="1" applyBorder="1"/>
    <xf numFmtId="44" fontId="8" fillId="53" borderId="4" xfId="1" applyFont="1" applyFill="1" applyBorder="1"/>
    <xf numFmtId="0" fontId="7" fillId="54" borderId="3" xfId="0" applyFont="1" applyFill="1" applyBorder="1"/>
    <xf numFmtId="0" fontId="42" fillId="55" borderId="3" xfId="0" applyFont="1" applyFill="1" applyBorder="1"/>
    <xf numFmtId="0" fontId="42" fillId="0" borderId="3" xfId="0" applyFont="1" applyFill="1" applyBorder="1"/>
    <xf numFmtId="44" fontId="4" fillId="5" borderId="6" xfId="1" applyFont="1" applyFill="1" applyBorder="1" applyAlignment="1">
      <alignment vertical="center"/>
    </xf>
    <xf numFmtId="44" fontId="4" fillId="5" borderId="7" xfId="1" applyFont="1" applyFill="1" applyBorder="1" applyAlignment="1">
      <alignment vertical="center"/>
    </xf>
    <xf numFmtId="44" fontId="4" fillId="5" borderId="5" xfId="1" applyFont="1" applyFill="1" applyBorder="1" applyAlignment="1">
      <alignment vertical="center"/>
    </xf>
    <xf numFmtId="0" fontId="0" fillId="0" borderId="0" xfId="0" applyFill="1"/>
    <xf numFmtId="0" fontId="40" fillId="0" borderId="0" xfId="0" applyFont="1" applyFill="1"/>
    <xf numFmtId="44" fontId="4" fillId="0" borderId="24" xfId="1" applyFont="1" applyFill="1" applyBorder="1" applyAlignment="1">
      <alignment vertical="center"/>
    </xf>
    <xf numFmtId="0" fontId="0" fillId="56" borderId="0" xfId="0" applyFill="1"/>
    <xf numFmtId="0" fontId="42" fillId="55" borderId="21" xfId="0" applyFont="1" applyFill="1" applyBorder="1"/>
    <xf numFmtId="44" fontId="8" fillId="3" borderId="22" xfId="1" applyNumberFormat="1" applyFont="1" applyFill="1" applyBorder="1"/>
    <xf numFmtId="44" fontId="8" fillId="3" borderId="30" xfId="1" applyFont="1" applyFill="1" applyBorder="1"/>
    <xf numFmtId="44" fontId="8" fillId="3" borderId="31" xfId="1" applyNumberFormat="1" applyFont="1" applyFill="1" applyBorder="1"/>
    <xf numFmtId="0" fontId="7" fillId="54" borderId="32" xfId="0" applyFont="1" applyFill="1" applyBorder="1"/>
    <xf numFmtId="0" fontId="5" fillId="3" borderId="33" xfId="0" applyFont="1" applyFill="1" applyBorder="1" applyAlignment="1">
      <alignment horizontal="left" vertical="center"/>
    </xf>
    <xf numFmtId="44" fontId="8" fillId="3" borderId="26" xfId="1" applyFont="1" applyFill="1" applyBorder="1"/>
    <xf numFmtId="44" fontId="8" fillId="3" borderId="26" xfId="1" applyNumberFormat="1" applyFont="1" applyFill="1" applyBorder="1"/>
    <xf numFmtId="44" fontId="8" fillId="3" borderId="27" xfId="1" applyFont="1" applyFill="1" applyBorder="1"/>
    <xf numFmtId="44" fontId="4" fillId="0" borderId="0" xfId="1" applyFont="1" applyFill="1" applyBorder="1" applyAlignment="1">
      <alignment vertical="center"/>
    </xf>
    <xf numFmtId="44" fontId="30" fillId="0" borderId="0" xfId="0" applyNumberFormat="1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left" vertical="center"/>
    </xf>
    <xf numFmtId="44" fontId="34" fillId="0" borderId="0" xfId="1" applyNumberFormat="1" applyFont="1" applyFill="1" applyBorder="1"/>
    <xf numFmtId="44" fontId="35" fillId="0" borderId="0" xfId="1" applyNumberFormat="1" applyFont="1" applyFill="1" applyBorder="1"/>
    <xf numFmtId="0" fontId="0" fillId="0" borderId="0" xfId="0" applyFill="1" applyBorder="1"/>
    <xf numFmtId="44" fontId="4" fillId="56" borderId="0" xfId="1" applyFont="1" applyFill="1" applyBorder="1" applyAlignment="1">
      <alignment vertical="center"/>
    </xf>
    <xf numFmtId="44" fontId="43" fillId="57" borderId="0" xfId="0" applyNumberFormat="1" applyFont="1" applyFill="1" applyBorder="1" applyAlignment="1">
      <alignment horizontal="center" vertical="center"/>
    </xf>
    <xf numFmtId="0" fontId="36" fillId="56" borderId="0" xfId="0" applyFont="1" applyFill="1" applyBorder="1" applyAlignment="1">
      <alignment horizontal="left" vertical="center"/>
    </xf>
    <xf numFmtId="44" fontId="34" fillId="58" borderId="0" xfId="1" applyNumberFormat="1" applyFont="1" applyFill="1" applyBorder="1"/>
    <xf numFmtId="44" fontId="35" fillId="56" borderId="0" xfId="1" applyNumberFormat="1" applyFont="1" applyFill="1" applyBorder="1"/>
    <xf numFmtId="44" fontId="35" fillId="56" borderId="0" xfId="1" applyFont="1" applyFill="1" applyBorder="1"/>
    <xf numFmtId="0" fontId="0" fillId="56" borderId="0" xfId="0" applyFill="1" applyBorder="1"/>
    <xf numFmtId="0" fontId="36" fillId="3" borderId="21" xfId="0" applyFont="1" applyFill="1" applyBorder="1" applyAlignment="1">
      <alignment horizontal="left" vertical="center"/>
    </xf>
    <xf numFmtId="44" fontId="35" fillId="3" borderId="22" xfId="1" applyFont="1" applyFill="1" applyBorder="1"/>
    <xf numFmtId="44" fontId="35" fillId="3" borderId="22" xfId="1" applyNumberFormat="1" applyFont="1" applyFill="1" applyBorder="1"/>
    <xf numFmtId="44" fontId="4" fillId="56" borderId="0" xfId="1" applyFont="1" applyFill="1" applyBorder="1" applyAlignment="1">
      <alignment horizontal="center" vertical="center"/>
    </xf>
    <xf numFmtId="0" fontId="5" fillId="56" borderId="0" xfId="0" applyFont="1" applyFill="1" applyBorder="1" applyAlignment="1">
      <alignment horizontal="left" vertical="center"/>
    </xf>
    <xf numFmtId="44" fontId="8" fillId="56" borderId="0" xfId="1" applyFont="1" applyFill="1" applyBorder="1"/>
    <xf numFmtId="44" fontId="8" fillId="56" borderId="0" xfId="1" applyNumberFormat="1" applyFont="1" applyFill="1" applyBorder="1"/>
    <xf numFmtId="0" fontId="40" fillId="56" borderId="0" xfId="0" applyFont="1" applyFill="1" applyBorder="1"/>
    <xf numFmtId="44" fontId="30" fillId="56" borderId="0" xfId="0" applyNumberFormat="1" applyFont="1" applyFill="1" applyBorder="1" applyAlignment="1">
      <alignment horizontal="center" vertical="center"/>
    </xf>
    <xf numFmtId="0" fontId="41" fillId="56" borderId="0" xfId="0" applyFont="1" applyFill="1" applyBorder="1" applyAlignment="1">
      <alignment horizontal="left" vertical="center"/>
    </xf>
    <xf numFmtId="44" fontId="11" fillId="0" borderId="22" xfId="0" applyNumberFormat="1" applyFont="1" applyFill="1" applyBorder="1"/>
    <xf numFmtId="44" fontId="8" fillId="0" borderId="22" xfId="1" applyFont="1" applyFill="1" applyBorder="1"/>
    <xf numFmtId="44" fontId="11" fillId="58" borderId="0" xfId="0" applyNumberFormat="1" applyFont="1" applyFill="1" applyBorder="1"/>
    <xf numFmtId="44" fontId="10" fillId="10" borderId="22" xfId="0" applyNumberFormat="1" applyFont="1" applyFill="1" applyBorder="1"/>
    <xf numFmtId="44" fontId="4" fillId="7" borderId="7" xfId="1" applyFont="1" applyFill="1" applyBorder="1" applyAlignment="1">
      <alignment vertical="center"/>
    </xf>
    <xf numFmtId="44" fontId="11" fillId="56" borderId="0" xfId="0" applyNumberFormat="1" applyFont="1" applyFill="1" applyBorder="1"/>
    <xf numFmtId="44" fontId="10" fillId="56" borderId="0" xfId="0" applyNumberFormat="1" applyFont="1" applyFill="1" applyBorder="1"/>
    <xf numFmtId="44" fontId="4" fillId="5" borderId="6" xfId="1" applyFont="1" applyFill="1" applyBorder="1" applyAlignment="1">
      <alignment horizontal="center" vertical="center"/>
    </xf>
    <xf numFmtId="44" fontId="4" fillId="5" borderId="7" xfId="1" applyFont="1" applyFill="1" applyBorder="1" applyAlignment="1">
      <alignment horizontal="center" vertical="center"/>
    </xf>
    <xf numFmtId="44" fontId="4" fillId="5" borderId="5" xfId="1" applyFont="1" applyFill="1" applyBorder="1" applyAlignment="1">
      <alignment horizontal="center" vertical="center"/>
    </xf>
    <xf numFmtId="44" fontId="4" fillId="5" borderId="24" xfId="1" applyFont="1" applyFill="1" applyBorder="1" applyAlignment="1">
      <alignment horizontal="center" vertical="center"/>
    </xf>
    <xf numFmtId="44" fontId="4" fillId="5" borderId="23" xfId="1" applyFont="1" applyFill="1" applyBorder="1" applyAlignment="1">
      <alignment horizontal="center" vertical="center"/>
    </xf>
  </cellXfs>
  <cellStyles count="44">
    <cellStyle name="20 % - Accent1" xfId="20" builtinId="30" customBuiltin="1"/>
    <cellStyle name="20 % - Accent2" xfId="24" builtinId="34" customBuiltin="1"/>
    <cellStyle name="20 % - Accent3" xfId="28" builtinId="38" customBuiltin="1"/>
    <cellStyle name="20 % - Accent4" xfId="32" builtinId="42" customBuiltin="1"/>
    <cellStyle name="20 % - Accent5" xfId="36" builtinId="46" customBuiltin="1"/>
    <cellStyle name="20 % - Accent6" xfId="40" builtinId="50" customBuiltin="1"/>
    <cellStyle name="40 % - Accent1" xfId="21" builtinId="31" customBuiltin="1"/>
    <cellStyle name="40 % - Accent2" xfId="25" builtinId="35" customBuiltin="1"/>
    <cellStyle name="40 % - Accent3" xfId="29" builtinId="39" customBuiltin="1"/>
    <cellStyle name="40 % - Accent4" xfId="33" builtinId="43" customBuiltin="1"/>
    <cellStyle name="40 % - Accent5" xfId="37" builtinId="47" customBuiltin="1"/>
    <cellStyle name="40 % - Accent6" xfId="41" builtinId="51" customBuiltin="1"/>
    <cellStyle name="60 % - Accent1" xfId="22" builtinId="32" customBuiltin="1"/>
    <cellStyle name="60 % - Accent2" xfId="26" builtinId="36" customBuiltin="1"/>
    <cellStyle name="60 % - Accent3" xfId="30" builtinId="40" customBuiltin="1"/>
    <cellStyle name="60 % - Accent4" xfId="34" builtinId="44" customBuiltin="1"/>
    <cellStyle name="60 % - Accent5" xfId="38" builtinId="48" customBuiltin="1"/>
    <cellStyle name="60 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Avertissement" xfId="15" builtinId="11" customBuiltin="1"/>
    <cellStyle name="Calcul" xfId="12" builtinId="22" customBuiltin="1"/>
    <cellStyle name="Cellule liée" xfId="13" builtinId="24" customBuiltin="1"/>
    <cellStyle name="Entrée" xfId="10" builtinId="20" customBuiltin="1"/>
    <cellStyle name="Insatisfaisant" xfId="8" builtinId="27" customBuiltin="1"/>
    <cellStyle name="Milliers" xfId="43" builtinId="3"/>
    <cellStyle name="Monétaire" xfId="1" builtinId="4"/>
    <cellStyle name="Neutre" xfId="9" builtinId="28" customBuiltin="1"/>
    <cellStyle name="Normal" xfId="0" builtinId="0"/>
    <cellStyle name="Note" xfId="16" builtinId="10" customBuiltin="1"/>
    <cellStyle name="Satisfaisant" xfId="7" builtinId="26" customBuiltin="1"/>
    <cellStyle name="Sortie" xfId="11" builtinId="21" customBuiltin="1"/>
    <cellStyle name="Texte explicatif" xfId="17" builtinId="53" customBuiltin="1"/>
    <cellStyle name="Titre" xfId="2" builtinId="15" customBuiltin="1"/>
    <cellStyle name="Titre 1" xfId="3" builtinId="16" customBuiltin="1"/>
    <cellStyle name="Titre 2" xfId="4" builtinId="17" customBuiltin="1"/>
    <cellStyle name="Titre 3" xfId="5" builtinId="18" customBuiltin="1"/>
    <cellStyle name="Titre 4" xfId="6" builtinId="19" customBuiltin="1"/>
    <cellStyle name="Total" xfId="18" builtinId="25" customBuiltin="1"/>
    <cellStyle name="Vérification" xfId="14" builtinId="23" customBuiltin="1"/>
  </cellStyles>
  <dxfs count="43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€&quot;_-;\-* #,##0.00\ &quot;€&quot;_-;_-* &quot;-&quot;??\ &quot;€&quot;_-;_-@_-"/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€&quot;_-;\-* #,##0.00\ &quot;€&quot;_-;_-* &quot;-&quot;??\ &quot;€&quot;_-;_-@_-"/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numFmt numFmtId="34" formatCode="_-* #,##0.00\ &quot;€&quot;_-;\-* #,##0.00\ &quot;€&quot;_-;_-* &quot;-&quot;??\ &quot;€&quot;_-;_-@_-"/>
      <fill>
        <patternFill patternType="solid">
          <fgColor rgb="FF000000"/>
          <bgColor rgb="FFC6EFCE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theme="4" tint="-0.249977111117893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44546A"/>
        <name val="Calibri"/>
        <scheme val="minor"/>
      </font>
      <numFmt numFmtId="34" formatCode="_-* #,##0.00\ &quot;€&quot;_-;\-* #,##0.00\ &quot;€&quot;_-;_-* &quot;-&quot;??\ &quot;€&quot;_-;_-@_-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thin">
          <color indexed="64"/>
        </right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€&quot;_-;\-* #,##0.00\ &quot;€&quot;_-;_-* &quot;-&quot;??\ &quot;€&quot;_-;_-@_-"/>
      <fill>
        <patternFill patternType="solid">
          <fgColor indexed="64"/>
          <bgColor theme="4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numFmt numFmtId="34" formatCode="_-* #,##0.00\ &quot;€&quot;_-;\-* #,##0.00\ &quot;€&quot;_-;_-* &quot;-&quot;??\ &quot;€&quot;_-;_-@_-"/>
      <fill>
        <patternFill patternType="solid">
          <fgColor rgb="FF000000"/>
          <bgColor rgb="FFFFC7CE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€&quot;_-;\-* #,##0.00\ &quot;€&quot;_-;_-* &quot;-&quot;??\ &quot;€&quot;_-;_-@_-"/>
      <fill>
        <patternFill patternType="solid">
          <fgColor indexed="64"/>
          <bgColor theme="4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€&quot;_-;\-* #,##0.00\ &quot;€&quot;_-;_-* &quot;-&quot;??\ &quot;€&quot;_-;_-@_-"/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numFmt numFmtId="34" formatCode="_-* #,##0.00\ &quot;€&quot;_-;\-* #,##0.00\ &quot;€&quot;_-;_-* &quot;-&quot;??\ &quot;€&quot;_-;_-@_-"/>
      <fill>
        <patternFill patternType="solid">
          <fgColor rgb="FF000000"/>
          <bgColor rgb="FFC6EFCE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theme="4" tint="-0.249977111117893"/>
        </patternFill>
      </fill>
      <alignment horizontal="left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theme="4" tint="-0.249977111117893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44546A"/>
        <name val="Calibri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border outline="0">
        <left style="medium">
          <color indexed="64"/>
        </left>
        <right style="thin">
          <color indexed="64"/>
        </right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numFmt numFmtId="34" formatCode="_-* #,##0.00\ &quot;€&quot;_-;\-* #,##0.00\ &quot;€&quot;_-;_-* &quot;-&quot;??\ &quot;€&quot;_-;_-@_-"/>
      <fill>
        <patternFill patternType="solid">
          <fgColor rgb="FF000000"/>
          <bgColor rgb="FFC6EFCE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theme="4" tint="-0.249977111117893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44546A"/>
        <name val="Calibri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thin">
          <color indexed="64"/>
        </right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numFmt numFmtId="34" formatCode="_-* #,##0.00\ &quot;€&quot;_-;\-* #,##0.00\ &quot;€&quot;_-;_-* &quot;-&quot;??\ &quot;€&quot;_-;_-@_-"/>
      <fill>
        <patternFill patternType="solid">
          <fgColor rgb="FF000000"/>
          <bgColor rgb="FFC6EFCE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theme="4" tint="-0.249977111117893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44546A"/>
        <name val="Calibri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thin">
          <color indexed="64"/>
        </right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theme="4" tint="-0.249977111117893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44546A"/>
        <name val="Calibri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thin">
          <color indexed="64"/>
        </right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numFmt numFmtId="34" formatCode="_-* #,##0.00\ &quot;€&quot;_-;\-* #,##0.00\ &quot;€&quot;_-;_-* &quot;-&quot;??\ &quot;€&quot;_-;_-@_-"/>
      <fill>
        <patternFill patternType="solid">
          <fgColor rgb="FF000000"/>
          <bgColor rgb="FFC6EFCE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theme="4" tint="-0.249977111117893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44546A"/>
        <name val="Calibri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thin">
          <color indexed="64"/>
        </right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numFmt numFmtId="34" formatCode="_-* #,##0.00\ &quot;€&quot;_-;\-* #,##0.00\ &quot;€&quot;_-;_-* &quot;-&quot;??\ &quot;€&quot;_-;_-@_-"/>
      <fill>
        <patternFill patternType="solid">
          <fgColor rgb="FF000000"/>
          <bgColor rgb="FFC6EFCE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theme="4" tint="-0.249977111117893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44546A"/>
        <name val="Calibri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thin">
          <color indexed="64"/>
        </right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theme="4" tint="-0.249977111117893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thin">
          <color indexed="64"/>
        </right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theme="4" tint="-0.249977111117893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thin">
          <color indexed="64"/>
        </right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Calibri"/>
        <scheme val="minor"/>
      </font>
      <fill>
        <patternFill patternType="solid">
          <fgColor rgb="FF000000"/>
          <bgColor rgb="FF2F75B5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thin">
          <color indexed="64"/>
        </right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5" formatCode="0.00E+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5" formatCode="0.00E+00"/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numFmt numFmtId="15" formatCode="0.00E+00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évoulition de la marge Brut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'Synthèse 2024'!$B$20</c:f>
              <c:strCache>
                <c:ptCount val="1"/>
                <c:pt idx="0">
                  <c:v>Marge Brut totale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'Synthèse 2024'!$C$11:$N$11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 </c:v>
                </c:pt>
                <c:pt idx="11">
                  <c:v>Décembre</c:v>
                </c:pt>
              </c:strCache>
            </c:strRef>
          </c:cat>
          <c:val>
            <c:numRef>
              <c:f>'Synthèse 2024'!$C$20:$N$20</c:f>
              <c:numCache>
                <c:formatCode>_("€"* #,##0.00_);_("€"* \(#,##0.00\);_("€"* "-"??_);_(@_)</c:formatCode>
                <c:ptCount val="12"/>
                <c:pt idx="0">
                  <c:v>26308.397611940298</c:v>
                </c:pt>
                <c:pt idx="1">
                  <c:v>31690.487164179103</c:v>
                </c:pt>
                <c:pt idx="2">
                  <c:v>31085.487164179103</c:v>
                </c:pt>
                <c:pt idx="3">
                  <c:v>33936.112835820895</c:v>
                </c:pt>
                <c:pt idx="4">
                  <c:v>33899.990746268653</c:v>
                </c:pt>
                <c:pt idx="5">
                  <c:v>32691.155522388057</c:v>
                </c:pt>
                <c:pt idx="6">
                  <c:v>28952.751940298509</c:v>
                </c:pt>
                <c:pt idx="7">
                  <c:v>22470.860298507461</c:v>
                </c:pt>
                <c:pt idx="8">
                  <c:v>19039.29313432836</c:v>
                </c:pt>
                <c:pt idx="9">
                  <c:v>21640.561791044776</c:v>
                </c:pt>
                <c:pt idx="10">
                  <c:v>20185.561791044776</c:v>
                </c:pt>
                <c:pt idx="11">
                  <c:v>20504.862839879155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5C-4DA1-9E2F-D1DECA3B656F}"/>
            </c:ext>
          </c:extLst>
        </c:ser>
        <c:ser>
          <c:idx val="1"/>
          <c:order val="1"/>
          <c:tx>
            <c:strRef>
              <c:f>'Synthèse 2024'!$B$7</c:f>
              <c:strCache>
                <c:ptCount val="1"/>
                <c:pt idx="0">
                  <c:v>Marge Brut ITDEVTEAM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'Synthèse 2024'!$C$11:$N$11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 </c:v>
                </c:pt>
                <c:pt idx="11">
                  <c:v>Décembre</c:v>
                </c:pt>
              </c:strCache>
            </c:strRef>
          </c:cat>
          <c:val>
            <c:numRef>
              <c:f>'Synthèse 2024'!$C$7:$N$7</c:f>
              <c:numCache>
                <c:formatCode>_("€"* #,##0.00_);_("€"* \(#,##0.00\);_("€"* "-"??_);_(@_)</c:formatCode>
                <c:ptCount val="12"/>
                <c:pt idx="0">
                  <c:v>26308.397611940298</c:v>
                </c:pt>
                <c:pt idx="1">
                  <c:v>25638.397611940298</c:v>
                </c:pt>
                <c:pt idx="2">
                  <c:v>24103.397611940298</c:v>
                </c:pt>
                <c:pt idx="3">
                  <c:v>23862.054328358208</c:v>
                </c:pt>
                <c:pt idx="4">
                  <c:v>24402.054328358208</c:v>
                </c:pt>
                <c:pt idx="5">
                  <c:v>24029.554328358208</c:v>
                </c:pt>
                <c:pt idx="6">
                  <c:v>23791.531940298508</c:v>
                </c:pt>
                <c:pt idx="7">
                  <c:v>18736.531940298508</c:v>
                </c:pt>
                <c:pt idx="8">
                  <c:v>16171.531940298508</c:v>
                </c:pt>
                <c:pt idx="9">
                  <c:v>10267.800597014924</c:v>
                </c:pt>
                <c:pt idx="10">
                  <c:v>9617.8005970149243</c:v>
                </c:pt>
                <c:pt idx="11">
                  <c:v>7546.6906344410872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5C-4DA1-9E2F-D1DECA3B656F}"/>
            </c:ext>
          </c:extLst>
        </c:ser>
        <c:ser>
          <c:idx val="2"/>
          <c:order val="2"/>
          <c:tx>
            <c:strRef>
              <c:f>'Synthèse 2024'!$B$12</c:f>
              <c:strCache>
                <c:ptCount val="1"/>
                <c:pt idx="0">
                  <c:v>Marge Brut EZEEGENAI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'Synthèse 2024'!$C$11:$N$11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 </c:v>
                </c:pt>
                <c:pt idx="11">
                  <c:v>Décembre</c:v>
                </c:pt>
              </c:strCache>
            </c:strRef>
          </c:cat>
          <c:val>
            <c:numRef>
              <c:f>'Synthèse 2024'!$C$12:$N$12</c:f>
              <c:numCache>
                <c:formatCode>_("€"* #,##0.00_);_("€"* \(#,##0.00\);_("€"* "-"??_);_(@_)</c:formatCode>
                <c:ptCount val="12"/>
                <c:pt idx="0">
                  <c:v>0</c:v>
                </c:pt>
                <c:pt idx="1">
                  <c:v>6052.0895522388064</c:v>
                </c:pt>
                <c:pt idx="2">
                  <c:v>6982.0895522388064</c:v>
                </c:pt>
                <c:pt idx="3">
                  <c:v>10074.058507462685</c:v>
                </c:pt>
                <c:pt idx="4">
                  <c:v>9497.9364179104468</c:v>
                </c:pt>
                <c:pt idx="5">
                  <c:v>8661.6011940298504</c:v>
                </c:pt>
                <c:pt idx="6">
                  <c:v>5161.22</c:v>
                </c:pt>
                <c:pt idx="7">
                  <c:v>3734.3283582089553</c:v>
                </c:pt>
                <c:pt idx="8">
                  <c:v>2867.7611940298507</c:v>
                </c:pt>
                <c:pt idx="9">
                  <c:v>11372.76119402985</c:v>
                </c:pt>
                <c:pt idx="10">
                  <c:v>10567.76119402985</c:v>
                </c:pt>
                <c:pt idx="11">
                  <c:v>12958.172205438066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5C-4DA1-9E2F-D1DECA3B6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5960288"/>
        <c:axId val="855959040"/>
      </c:barChart>
      <c:catAx>
        <c:axId val="855960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5959040"/>
        <c:crosses val="autoZero"/>
        <c:auto val="1"/>
        <c:lblAlgn val="ctr"/>
        <c:lblOffset val="100"/>
        <c:noMultiLvlLbl val="0"/>
      </c:catAx>
      <c:valAx>
        <c:axId val="855959040"/>
        <c:scaling>
          <c:orientation val="minMax"/>
        </c:scaling>
        <c:delete val="0"/>
        <c:axPos val="l"/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596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cap="all" baseline="0">
                <a:effectLst/>
              </a:rPr>
              <a:t>évoulition de la marge NETTE</a:t>
            </a:r>
            <a:endParaRPr lang="fr-FR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'Synthèse 2024'!$B$8</c:f>
              <c:strCache>
                <c:ptCount val="1"/>
                <c:pt idx="0">
                  <c:v>Marge Nette ITDEVTEAM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'Synthèse 2024'!$C$6:$N$6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 </c:v>
                </c:pt>
                <c:pt idx="11">
                  <c:v>Décembre</c:v>
                </c:pt>
              </c:strCache>
            </c:strRef>
          </c:cat>
          <c:val>
            <c:numRef>
              <c:f>'Synthèse 2024'!$C$8:$N$8</c:f>
              <c:numCache>
                <c:formatCode>_("€"* #,##0.00_);_("€"* \(#,##0.00\);_("€"* "-"??_);_(@_)</c:formatCode>
                <c:ptCount val="12"/>
                <c:pt idx="0">
                  <c:v>25552.875223880597</c:v>
                </c:pt>
                <c:pt idx="1">
                  <c:v>21711.830447761193</c:v>
                </c:pt>
                <c:pt idx="2">
                  <c:v>18984.226268656716</c:v>
                </c:pt>
                <c:pt idx="3">
                  <c:v>19673.462985074628</c:v>
                </c:pt>
                <c:pt idx="4">
                  <c:v>20110.41253731343</c:v>
                </c:pt>
                <c:pt idx="5">
                  <c:v>20394.927462686566</c:v>
                </c:pt>
                <c:pt idx="6">
                  <c:v>17083.288656716417</c:v>
                </c:pt>
                <c:pt idx="7">
                  <c:v>14991.517014925374</c:v>
                </c:pt>
                <c:pt idx="8">
                  <c:v>10660.765373134329</c:v>
                </c:pt>
                <c:pt idx="9">
                  <c:v>7434.3525373134325</c:v>
                </c:pt>
                <c:pt idx="10">
                  <c:v>684.81014925372983</c:v>
                </c:pt>
                <c:pt idx="11">
                  <c:v>-9673.8531722054377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9C-43D1-9690-97BECEAFD0E7}"/>
            </c:ext>
          </c:extLst>
        </c:ser>
        <c:ser>
          <c:idx val="1"/>
          <c:order val="1"/>
          <c:tx>
            <c:strRef>
              <c:f>'Synthèse 2024'!$B$13</c:f>
              <c:strCache>
                <c:ptCount val="1"/>
                <c:pt idx="0">
                  <c:v>Marge Nette EZEEGENAI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'Synthèse 2024'!$C$6:$N$6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 </c:v>
                </c:pt>
                <c:pt idx="11">
                  <c:v>Décembre</c:v>
                </c:pt>
              </c:strCache>
            </c:strRef>
          </c:cat>
          <c:val>
            <c:numRef>
              <c:f>'Synthèse 2024'!$C$13:$N$13</c:f>
              <c:numCache>
                <c:formatCode>_("€"* #,##0.00_);_("€"* \(#,##0.00\);_("€"* "-"??_);_(@_)</c:formatCode>
                <c:ptCount val="12"/>
                <c:pt idx="0">
                  <c:v>0</c:v>
                </c:pt>
                <c:pt idx="1">
                  <c:v>5436.6761194029859</c:v>
                </c:pt>
                <c:pt idx="2">
                  <c:v>6213.8600000000006</c:v>
                </c:pt>
                <c:pt idx="3">
                  <c:v>8200.2295522388049</c:v>
                </c:pt>
                <c:pt idx="4">
                  <c:v>8142.6077611940291</c:v>
                </c:pt>
                <c:pt idx="5">
                  <c:v>7346.6226865671633</c:v>
                </c:pt>
                <c:pt idx="6">
                  <c:v>3954.1740298507466</c:v>
                </c:pt>
                <c:pt idx="7">
                  <c:v>2867.2277611940299</c:v>
                </c:pt>
                <c:pt idx="8">
                  <c:v>1892.2110447761193</c:v>
                </c:pt>
                <c:pt idx="9">
                  <c:v>10417.670447761193</c:v>
                </c:pt>
                <c:pt idx="10">
                  <c:v>10200.177910447761</c:v>
                </c:pt>
                <c:pt idx="11">
                  <c:v>10877.053474320241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9C-43D1-9690-97BECEAFD0E7}"/>
            </c:ext>
          </c:extLst>
        </c:ser>
        <c:ser>
          <c:idx val="2"/>
          <c:order val="2"/>
          <c:tx>
            <c:strRef>
              <c:f>'Synthèse 2024'!$B$21</c:f>
              <c:strCache>
                <c:ptCount val="1"/>
                <c:pt idx="0">
                  <c:v>Marge Nette totale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'Synthèse 2024'!$C$6:$N$6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 </c:v>
                </c:pt>
                <c:pt idx="11">
                  <c:v>Décembre</c:v>
                </c:pt>
              </c:strCache>
            </c:strRef>
          </c:cat>
          <c:val>
            <c:numRef>
              <c:f>'Synthèse 2024'!$C$21:$N$21</c:f>
              <c:numCache>
                <c:formatCode>_("€"* #,##0.00_);_("€"* \(#,##0.00\);_("€"* "-"??_);_(@_)</c:formatCode>
                <c:ptCount val="12"/>
                <c:pt idx="0">
                  <c:v>25552.875223880597</c:v>
                </c:pt>
                <c:pt idx="1">
                  <c:v>27148.506567164179</c:v>
                </c:pt>
                <c:pt idx="2">
                  <c:v>25198.086268656716</c:v>
                </c:pt>
                <c:pt idx="3">
                  <c:v>27873.692537313433</c:v>
                </c:pt>
                <c:pt idx="4">
                  <c:v>28253.020298507457</c:v>
                </c:pt>
                <c:pt idx="5">
                  <c:v>27741.55014925373</c:v>
                </c:pt>
                <c:pt idx="6">
                  <c:v>21037.462686567163</c:v>
                </c:pt>
                <c:pt idx="7">
                  <c:v>17858.744776119405</c:v>
                </c:pt>
                <c:pt idx="8">
                  <c:v>12552.976417910448</c:v>
                </c:pt>
                <c:pt idx="9">
                  <c:v>17852.022985074625</c:v>
                </c:pt>
                <c:pt idx="10">
                  <c:v>10884.988059701491</c:v>
                </c:pt>
                <c:pt idx="11">
                  <c:v>1203.200302114803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9C-43D1-9690-97BECEAFD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8450512"/>
        <c:axId val="268457168"/>
      </c:barChart>
      <c:catAx>
        <c:axId val="26845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8457168"/>
        <c:crosses val="autoZero"/>
        <c:auto val="1"/>
        <c:lblAlgn val="ctr"/>
        <c:lblOffset val="100"/>
        <c:noMultiLvlLbl val="0"/>
      </c:catAx>
      <c:valAx>
        <c:axId val="26845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8450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79755</xdr:colOff>
      <xdr:row>29</xdr:row>
      <xdr:rowOff>11288</xdr:rowOff>
    </xdr:from>
    <xdr:to>
      <xdr:col>8</xdr:col>
      <xdr:colOff>171175</xdr:colOff>
      <xdr:row>43</xdr:row>
      <xdr:rowOff>110434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259521</xdr:colOff>
      <xdr:row>29</xdr:row>
      <xdr:rowOff>1</xdr:rowOff>
    </xdr:from>
    <xdr:to>
      <xdr:col>16</xdr:col>
      <xdr:colOff>351772</xdr:colOff>
      <xdr:row>43</xdr:row>
      <xdr:rowOff>104913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0" name="Tableau111" displayName="Tableau111" ref="D20:H34" totalsRowShown="0" headerRowDxfId="427" dataDxfId="425" headerRowBorderDxfId="426" tableBorderDxfId="424" totalsRowBorderDxfId="423">
  <autoFilter ref="D20:H34"/>
  <tableColumns count="5">
    <tableColumn id="1" name="consultant" dataDxfId="422"/>
    <tableColumn id="2" name="tjm client" dataDxfId="421"/>
    <tableColumn id="3" name="tjm fournisseur" dataDxfId="420"/>
    <tableColumn id="5" name="aporteur affaire" dataDxfId="419"/>
    <tableColumn id="4" name="marge / jours" dataDxfId="418">
      <calculatedColumnFormula>Tableau111[[#This Row],[tjm client]]-Tableau111[[#This Row],[tjm fournisseur]]-Tableau111[[#This Row],[aporteur affaire]]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9" name="Tableau9" displayName="Tableau9" ref="C4:H20" totalsRowShown="0" dataDxfId="71" tableBorderDxfId="70" dataCellStyle="Monétaire">
  <autoFilter ref="C4:H20"/>
  <tableColumns count="6">
    <tableColumn id="1" name="Société" totalsRowDxfId="69"/>
    <tableColumn id="2" name="consultant" dataDxfId="68" totalsRowDxfId="67"/>
    <tableColumn id="3" name="facturation client HT" dataDxfId="66" totalsRowDxfId="65" dataCellStyle="Monétaire"/>
    <tableColumn id="4" name="facturation Fournisseur HT" dataDxfId="64" totalsRowDxfId="63" dataCellStyle="Monétaire">
      <calculatedColumnFormula>3000/3.35</calculatedColumnFormula>
    </tableColumn>
    <tableColumn id="5" name=" Salaire NET" dataDxfId="62" totalsRowDxfId="61" dataCellStyle="Monétaire"/>
    <tableColumn id="6" name="Marge nette" dataDxfId="60" totalsRowDxfId="59" dataCellStyle="Monétaire">
      <calculatedColumnFormula>Tableau9[[#This Row],[facturation client HT]]-(Tableau9[[#This Row],[facturation Fournisseur HT]]+Tableau9[[#This Row],[ Salaire NET]])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1" name="Tableau11" displayName="Tableau11" ref="C4:H19" totalsRowShown="0" tableBorderDxfId="34">
  <autoFilter ref="C4:H19"/>
  <tableColumns count="6">
    <tableColumn id="1" name="Société" dataDxfId="33"/>
    <tableColumn id="2" name="consultant" dataDxfId="32"/>
    <tableColumn id="3" name="facturation client HT" dataDxfId="31"/>
    <tableColumn id="4" name="facturation Fournisseur HT" dataDxfId="30" dataCellStyle="Monétaire"/>
    <tableColumn id="5" name=" Salaire NET" dataDxfId="29" dataCellStyle="Monétaire"/>
    <tableColumn id="6" name="Marge nette" dataDxfId="28" dataCellStyle="Monétaire">
      <calculatedColumnFormula>E5-(F5+G5)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8" name="Tableau8" displayName="Tableau8" ref="C4:H11" totalsRowShown="0" dataDxfId="391" tableBorderDxfId="390" dataCellStyle="Monétaire">
  <autoFilter ref="C4:H11"/>
  <tableColumns count="6">
    <tableColumn id="1" name="Société" dataDxfId="389" dataCellStyle="Monétaire"/>
    <tableColumn id="2" name="consultant" dataDxfId="388"/>
    <tableColumn id="3" name="facturation client HT" dataDxfId="387" dataCellStyle="Monétaire"/>
    <tableColumn id="4" name="facturation Fournisseur HT" dataDxfId="386" dataCellStyle="Monétaire"/>
    <tableColumn id="5" name=" Salaire NET" dataDxfId="385" dataCellStyle="Monétaire"/>
    <tableColumn id="6" name="Marge nette" dataDxfId="384" dataCellStyle="Monétaire">
      <calculatedColumnFormula>E5-(F5+G5)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7" name="Tableau7" displayName="Tableau7" ref="C4:H17" totalsRowShown="0" dataDxfId="353" tableBorderDxfId="352" dataCellStyle="Monétaire">
  <autoFilter ref="C4:H17"/>
  <tableColumns count="6">
    <tableColumn id="1" name="Société" dataDxfId="351" dataCellStyle="Monétaire"/>
    <tableColumn id="2" name="consultant" dataDxfId="350"/>
    <tableColumn id="3" name="facturation client HT" dataDxfId="349" dataCellStyle="Monétaire"/>
    <tableColumn id="4" name="facturation Fournisseur HT" dataDxfId="348" dataCellStyle="Monétaire"/>
    <tableColumn id="5" name=" Salaire NET" dataDxfId="347" dataCellStyle="Monétaire"/>
    <tableColumn id="6" name="Marge nette" dataDxfId="346" dataCellStyle="Monétaire">
      <calculatedColumnFormula>E5-(F5+G5)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6" name="Tableau6" displayName="Tableau6" ref="C4:H17" totalsRowShown="0" dataDxfId="313" tableBorderDxfId="312" dataCellStyle="Monétaire">
  <autoFilter ref="C4:H17"/>
  <tableColumns count="6">
    <tableColumn id="1" name="Société" dataDxfId="311" dataCellStyle="Monétaire"/>
    <tableColumn id="2" name="consultant" dataDxfId="310"/>
    <tableColumn id="3" name="facturation client HT" dataDxfId="309" dataCellStyle="Monétaire"/>
    <tableColumn id="4" name="facturation Fournisseur HT" dataDxfId="308" dataCellStyle="Monétaire"/>
    <tableColumn id="5" name=" Salaire NET" dataDxfId="307" dataCellStyle="Monétaire"/>
    <tableColumn id="6" name="Marge nette" dataDxfId="306" dataCellStyle="Monétaire">
      <calculatedColumnFormula>E5-(F5+G5)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eau5" displayName="Tableau5" ref="C4:H19" totalsRowShown="0" tableBorderDxfId="275">
  <autoFilter ref="C4:H19"/>
  <tableColumns count="6">
    <tableColumn id="1" name="Société" dataDxfId="274"/>
    <tableColumn id="2" name="consultant" dataDxfId="273"/>
    <tableColumn id="3" name="facturation client HT" dataDxfId="272"/>
    <tableColumn id="4" name="facturation Fournisseur HT" dataDxfId="271" dataCellStyle="Monétaire"/>
    <tableColumn id="5" name=" Salaire NET" dataDxfId="270" dataCellStyle="Monétaire"/>
    <tableColumn id="6" name="Marge nette" dataDxfId="269" dataCellStyle="Monétaire">
      <calculatedColumnFormula>E5-(F5+G5)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4" name="Tableau4" displayName="Tableau4" ref="C4:H18" totalsRowShown="0" tableBorderDxfId="232">
  <autoFilter ref="C4:H18"/>
  <tableColumns count="6">
    <tableColumn id="1" name="Société" dataDxfId="231"/>
    <tableColumn id="2" name="consultant" dataDxfId="230"/>
    <tableColumn id="3" name="facturation client HT" dataDxfId="229"/>
    <tableColumn id="4" name="facturation Fournisseur HT" dataDxfId="228" dataCellStyle="Monétaire"/>
    <tableColumn id="5" name=" Salaire NET" dataDxfId="227" dataCellStyle="Monétaire"/>
    <tableColumn id="6" name="Marge nette" dataDxfId="226" dataCellStyle="Monétaire">
      <calculatedColumnFormula>E5-(F5+G5)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3" name="Tableau3" displayName="Tableau3" ref="C4:H18" totalsRowShown="0" dataDxfId="187" tableBorderDxfId="186" dataCellStyle="Monétaire">
  <autoFilter ref="C4:H18"/>
  <tableColumns count="6">
    <tableColumn id="1" name="Société" dataDxfId="185"/>
    <tableColumn id="2" name="consultant" dataDxfId="184"/>
    <tableColumn id="3" name="facturation client HT" dataDxfId="183" dataCellStyle="Monétaire"/>
    <tableColumn id="4" name="facturation Fournisseur HT" dataDxfId="182" dataCellStyle="Monétaire"/>
    <tableColumn id="5" name=" Salaire NET" dataDxfId="181" dataCellStyle="Monétaire"/>
    <tableColumn id="6" name="Marge nette" dataDxfId="180" dataCellStyle="Monétaire">
      <calculatedColumnFormula>E5-(F5+G5)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2" name="Tableau2" displayName="Tableau2" ref="C5:H20" totalsRowShown="0" tableBorderDxfId="143">
  <autoFilter ref="C5:H20"/>
  <tableColumns count="6">
    <tableColumn id="1" name="Société" dataDxfId="142"/>
    <tableColumn id="2" name="consultant" dataDxfId="141"/>
    <tableColumn id="3" name="facturation client HT" dataDxfId="140"/>
    <tableColumn id="4" name="facturation Fournisseur HT" dataDxfId="139" dataCellStyle="Monétaire"/>
    <tableColumn id="5" name=" Salaire NET" dataDxfId="138" dataCellStyle="Monétaire"/>
    <tableColumn id="6" name="Marge nette" dataDxfId="137" dataCellStyle="Monétaire">
      <calculatedColumnFormula>E6-(F6+G6)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" name="Tableau1" displayName="Tableau1" ref="C4:H19" totalsRowShown="0" tableBorderDxfId="106">
  <autoFilter ref="C4:H19"/>
  <tableColumns count="6">
    <tableColumn id="1" name="Société" dataDxfId="105"/>
    <tableColumn id="2" name="consultant" dataDxfId="104"/>
    <tableColumn id="3" name="facturation client HT" dataDxfId="103"/>
    <tableColumn id="4" name="facturation Fournisseur HT" dataDxfId="102" dataCellStyle="Monétaire"/>
    <tableColumn id="5" name=" Salaire NET" dataDxfId="101" dataCellStyle="Monétaire"/>
    <tableColumn id="6" name="Marge nette" dataDxfId="100" dataCellStyle="Monétaire">
      <calculatedColumnFormula>E5-(F5+G5)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table" Target="../tables/table10.xml"/><Relationship Id="rId1" Type="http://schemas.openxmlformats.org/officeDocument/2006/relationships/vmlDrawing" Target="../drawings/vmlDrawing2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4"/>
  <sheetViews>
    <sheetView workbookViewId="0">
      <selection activeCell="E38" sqref="E38"/>
    </sheetView>
  </sheetViews>
  <sheetFormatPr baseColWidth="10" defaultRowHeight="14.4" x14ac:dyDescent="0.3"/>
  <cols>
    <col min="1" max="1" width="18.5546875" bestFit="1" customWidth="1"/>
    <col min="3" max="3" width="22.33203125" bestFit="1" customWidth="1"/>
    <col min="4" max="4" width="24.109375" bestFit="1" customWidth="1"/>
    <col min="5" max="5" width="11.77734375" bestFit="1" customWidth="1"/>
    <col min="6" max="6" width="16" bestFit="1" customWidth="1"/>
    <col min="7" max="7" width="16.44140625" bestFit="1" customWidth="1"/>
    <col min="8" max="8" width="14.33203125" bestFit="1" customWidth="1"/>
    <col min="9" max="9" width="10.6640625" bestFit="1" customWidth="1"/>
    <col min="10" max="10" width="18.33203125" bestFit="1" customWidth="1"/>
    <col min="11" max="11" width="11.77734375" bestFit="1" customWidth="1"/>
  </cols>
  <sheetData>
    <row r="2" spans="1:11" x14ac:dyDescent="0.3">
      <c r="A2" s="77" t="s">
        <v>119</v>
      </c>
    </row>
    <row r="3" spans="1:11" x14ac:dyDescent="0.3">
      <c r="C3" s="60"/>
      <c r="D3" s="60" t="s">
        <v>33</v>
      </c>
      <c r="E3" s="60"/>
      <c r="I3" s="60"/>
      <c r="J3" s="60" t="s">
        <v>82</v>
      </c>
      <c r="K3" s="60"/>
    </row>
    <row r="4" spans="1:11" x14ac:dyDescent="0.3">
      <c r="C4" s="61" t="s">
        <v>83</v>
      </c>
      <c r="D4" s="60"/>
      <c r="E4" s="61" t="s">
        <v>84</v>
      </c>
      <c r="I4" s="62" t="s">
        <v>83</v>
      </c>
      <c r="J4" s="60"/>
      <c r="K4" s="62" t="s">
        <v>84</v>
      </c>
    </row>
    <row r="5" spans="1:11" x14ac:dyDescent="0.3">
      <c r="C5" s="60" t="s">
        <v>85</v>
      </c>
      <c r="D5" s="60" t="s">
        <v>86</v>
      </c>
      <c r="E5" s="60" t="s">
        <v>87</v>
      </c>
      <c r="I5" s="60" t="s">
        <v>88</v>
      </c>
      <c r="J5" s="60" t="s">
        <v>71</v>
      </c>
      <c r="K5" s="60" t="s">
        <v>89</v>
      </c>
    </row>
    <row r="6" spans="1:11" x14ac:dyDescent="0.3">
      <c r="C6" s="60" t="s">
        <v>90</v>
      </c>
      <c r="D6" s="60" t="s">
        <v>91</v>
      </c>
      <c r="E6" s="60" t="s">
        <v>89</v>
      </c>
      <c r="I6" s="60" t="s">
        <v>92</v>
      </c>
      <c r="J6" s="60" t="s">
        <v>93</v>
      </c>
      <c r="K6" s="60" t="s">
        <v>87</v>
      </c>
    </row>
    <row r="7" spans="1:11" x14ac:dyDescent="0.3">
      <c r="C7" s="60" t="s">
        <v>94</v>
      </c>
      <c r="D7" s="60" t="s">
        <v>79</v>
      </c>
      <c r="E7" s="60" t="s">
        <v>89</v>
      </c>
      <c r="I7" s="60" t="s">
        <v>95</v>
      </c>
      <c r="J7" s="60" t="s">
        <v>23</v>
      </c>
      <c r="K7" s="60" t="s">
        <v>87</v>
      </c>
    </row>
    <row r="8" spans="1:11" x14ac:dyDescent="0.3">
      <c r="C8" s="60" t="s">
        <v>96</v>
      </c>
      <c r="D8" s="60" t="s">
        <v>97</v>
      </c>
      <c r="E8" s="60" t="s">
        <v>89</v>
      </c>
      <c r="I8" s="60" t="s">
        <v>29</v>
      </c>
      <c r="J8" s="60" t="s">
        <v>98</v>
      </c>
      <c r="K8" s="60" t="s">
        <v>87</v>
      </c>
    </row>
    <row r="9" spans="1:11" x14ac:dyDescent="0.3">
      <c r="C9" s="60" t="s">
        <v>99</v>
      </c>
      <c r="D9" s="60" t="s">
        <v>80</v>
      </c>
      <c r="E9" s="60" t="s">
        <v>89</v>
      </c>
      <c r="I9" s="60" t="s">
        <v>88</v>
      </c>
      <c r="J9" s="60" t="s">
        <v>100</v>
      </c>
      <c r="K9" s="60" t="s">
        <v>101</v>
      </c>
    </row>
    <row r="10" spans="1:11" x14ac:dyDescent="0.3">
      <c r="C10" s="60" t="s">
        <v>90</v>
      </c>
      <c r="D10" s="60" t="s">
        <v>102</v>
      </c>
      <c r="E10" s="60" t="s">
        <v>89</v>
      </c>
    </row>
    <row r="11" spans="1:11" x14ac:dyDescent="0.3">
      <c r="C11" s="60" t="s">
        <v>103</v>
      </c>
      <c r="D11" s="60" t="s">
        <v>28</v>
      </c>
      <c r="E11" s="60" t="s">
        <v>89</v>
      </c>
    </row>
    <row r="12" spans="1:11" x14ac:dyDescent="0.3">
      <c r="C12" s="60" t="s">
        <v>104</v>
      </c>
      <c r="D12" s="60" t="s">
        <v>31</v>
      </c>
      <c r="E12" s="60" t="s">
        <v>89</v>
      </c>
    </row>
    <row r="13" spans="1:11" x14ac:dyDescent="0.3">
      <c r="C13" s="60" t="s">
        <v>105</v>
      </c>
      <c r="D13" s="60" t="s">
        <v>30</v>
      </c>
      <c r="E13" s="60" t="s">
        <v>89</v>
      </c>
    </row>
    <row r="20" spans="4:8" x14ac:dyDescent="0.3">
      <c r="D20" s="63" t="s">
        <v>0</v>
      </c>
      <c r="E20" s="64" t="s">
        <v>106</v>
      </c>
      <c r="F20" s="64" t="s">
        <v>107</v>
      </c>
      <c r="G20" s="65" t="s">
        <v>111</v>
      </c>
      <c r="H20" s="65" t="s">
        <v>108</v>
      </c>
    </row>
    <row r="21" spans="4:8" x14ac:dyDescent="0.3">
      <c r="D21" s="66" t="s">
        <v>86</v>
      </c>
      <c r="E21" s="67">
        <v>50</v>
      </c>
      <c r="F21" s="68"/>
      <c r="G21" s="71"/>
      <c r="H21" s="80">
        <f>Tableau111[[#This Row],[tjm client]]-Tableau111[[#This Row],[tjm fournisseur]]-Tableau111[[#This Row],[aporteur affaire]]</f>
        <v>50</v>
      </c>
    </row>
    <row r="22" spans="4:8" x14ac:dyDescent="0.3">
      <c r="D22" s="66" t="s">
        <v>91</v>
      </c>
      <c r="E22" s="67">
        <v>290</v>
      </c>
      <c r="F22" s="67">
        <v>160</v>
      </c>
      <c r="G22" s="72"/>
      <c r="H22" s="80">
        <f>Tableau111[[#This Row],[tjm client]]-Tableau111[[#This Row],[tjm fournisseur]]-Tableau111[[#This Row],[aporteur affaire]]</f>
        <v>130</v>
      </c>
    </row>
    <row r="23" spans="4:8" x14ac:dyDescent="0.3">
      <c r="D23" s="66" t="s">
        <v>79</v>
      </c>
      <c r="E23" s="67">
        <v>260</v>
      </c>
      <c r="F23" s="67">
        <v>200</v>
      </c>
      <c r="G23" s="72"/>
      <c r="H23" s="80">
        <f>Tableau111[[#This Row],[tjm client]]-Tableau111[[#This Row],[tjm fournisseur]]-Tableau111[[#This Row],[aporteur affaire]]</f>
        <v>60</v>
      </c>
    </row>
    <row r="24" spans="4:8" x14ac:dyDescent="0.3">
      <c r="D24" s="66" t="s">
        <v>109</v>
      </c>
      <c r="E24" s="67">
        <v>320</v>
      </c>
      <c r="F24" s="67">
        <v>200</v>
      </c>
      <c r="G24" s="72"/>
      <c r="H24" s="80">
        <f>Tableau111[[#This Row],[tjm client]]-Tableau111[[#This Row],[tjm fournisseur]]-Tableau111[[#This Row],[aporteur affaire]]</f>
        <v>120</v>
      </c>
    </row>
    <row r="25" spans="4:8" x14ac:dyDescent="0.3">
      <c r="D25" s="66" t="s">
        <v>110</v>
      </c>
      <c r="E25" s="67">
        <v>290</v>
      </c>
      <c r="F25" s="67">
        <v>200</v>
      </c>
      <c r="G25" s="72"/>
      <c r="H25" s="80">
        <f>Tableau111[[#This Row],[tjm client]]-Tableau111[[#This Row],[tjm fournisseur]]-Tableau111[[#This Row],[aporteur affaire]]</f>
        <v>90</v>
      </c>
    </row>
    <row r="26" spans="4:8" x14ac:dyDescent="0.3">
      <c r="D26" s="66" t="s">
        <v>80</v>
      </c>
      <c r="E26" s="67">
        <v>320</v>
      </c>
      <c r="F26" s="67">
        <v>220</v>
      </c>
      <c r="G26" s="72"/>
      <c r="H26" s="80">
        <f>Tableau111[[#This Row],[tjm client]]-Tableau111[[#This Row],[tjm fournisseur]]-Tableau111[[#This Row],[aporteur affaire]]</f>
        <v>100</v>
      </c>
    </row>
    <row r="27" spans="4:8" x14ac:dyDescent="0.3">
      <c r="D27" s="66" t="s">
        <v>102</v>
      </c>
      <c r="E27" s="67">
        <v>220</v>
      </c>
      <c r="F27" s="67">
        <v>140</v>
      </c>
      <c r="G27" s="72"/>
      <c r="H27" s="80">
        <f>Tableau111[[#This Row],[tjm client]]-Tableau111[[#This Row],[tjm fournisseur]]-Tableau111[[#This Row],[aporteur affaire]]</f>
        <v>80</v>
      </c>
    </row>
    <row r="28" spans="4:8" x14ac:dyDescent="0.3">
      <c r="D28" s="66" t="s">
        <v>28</v>
      </c>
      <c r="E28" s="67">
        <v>270</v>
      </c>
      <c r="F28" s="67">
        <v>170</v>
      </c>
      <c r="G28" s="72">
        <v>20</v>
      </c>
      <c r="H28" s="80">
        <f>Tableau111[[#This Row],[tjm client]]-Tableau111[[#This Row],[tjm fournisseur]]-Tableau111[[#This Row],[aporteur affaire]]</f>
        <v>80</v>
      </c>
    </row>
    <row r="29" spans="4:8" x14ac:dyDescent="0.3">
      <c r="D29" s="66" t="s">
        <v>31</v>
      </c>
      <c r="E29" s="67">
        <v>280</v>
      </c>
      <c r="F29" s="67">
        <v>200</v>
      </c>
      <c r="G29" s="72"/>
      <c r="H29" s="80">
        <f>Tableau111[[#This Row],[tjm client]]-Tableau111[[#This Row],[tjm fournisseur]]-Tableau111[[#This Row],[aporteur affaire]]</f>
        <v>80</v>
      </c>
    </row>
    <row r="30" spans="4:8" x14ac:dyDescent="0.3">
      <c r="D30" s="66" t="s">
        <v>30</v>
      </c>
      <c r="E30" s="67">
        <v>255</v>
      </c>
      <c r="F30" s="67">
        <v>185</v>
      </c>
      <c r="G30" s="72">
        <v>10</v>
      </c>
      <c r="H30" s="80">
        <f>Tableau111[[#This Row],[tjm client]]-Tableau111[[#This Row],[tjm fournisseur]]-Tableau111[[#This Row],[aporteur affaire]]</f>
        <v>60</v>
      </c>
    </row>
    <row r="31" spans="4:8" x14ac:dyDescent="0.3">
      <c r="D31" s="66" t="s">
        <v>71</v>
      </c>
      <c r="E31" s="67">
        <v>280</v>
      </c>
      <c r="F31" s="67">
        <v>200</v>
      </c>
      <c r="G31" s="72"/>
      <c r="H31" s="80">
        <f>Tableau111[[#This Row],[tjm client]]-Tableau111[[#This Row],[tjm fournisseur]]-Tableau111[[#This Row],[aporteur affaire]]</f>
        <v>80</v>
      </c>
    </row>
    <row r="32" spans="4:8" x14ac:dyDescent="0.3">
      <c r="D32" s="66" t="s">
        <v>93</v>
      </c>
      <c r="E32" s="67">
        <v>240</v>
      </c>
      <c r="F32" s="67"/>
      <c r="G32" s="72"/>
      <c r="H32" s="80">
        <f>Tableau111[[#This Row],[tjm client]]-Tableau111[[#This Row],[tjm fournisseur]]-Tableau111[[#This Row],[aporteur affaire]]</f>
        <v>240</v>
      </c>
    </row>
    <row r="33" spans="4:8" x14ac:dyDescent="0.3">
      <c r="D33" s="66" t="s">
        <v>23</v>
      </c>
      <c r="E33" s="67">
        <v>270</v>
      </c>
      <c r="F33" s="67">
        <v>225</v>
      </c>
      <c r="G33" s="72"/>
      <c r="H33" s="80">
        <f>Tableau111[[#This Row],[tjm client]]-Tableau111[[#This Row],[tjm fournisseur]]-Tableau111[[#This Row],[aporteur affaire]]</f>
        <v>45</v>
      </c>
    </row>
    <row r="34" spans="4:8" x14ac:dyDescent="0.3">
      <c r="D34" s="69" t="s">
        <v>100</v>
      </c>
      <c r="E34" s="70">
        <v>180</v>
      </c>
      <c r="F34" s="67">
        <v>140</v>
      </c>
      <c r="G34" s="73"/>
      <c r="H34" s="80">
        <f>Tableau111[[#This Row],[tjm client]]-Tableau111[[#This Row],[tjm fournisseur]]-Tableau111[[#This Row],[aporteur affaire]]</f>
        <v>40</v>
      </c>
    </row>
  </sheetData>
  <conditionalFormatting sqref="H21:H34">
    <cfRule type="cellIs" dxfId="430" priority="1" operator="equal">
      <formula>100</formula>
    </cfRule>
    <cfRule type="cellIs" dxfId="429" priority="2" operator="lessThan">
      <formula>100</formula>
    </cfRule>
    <cfRule type="cellIs" dxfId="428" priority="3" operator="greaterThan">
      <formula>100</formula>
    </cfRule>
  </conditionalFormatting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O22"/>
  <sheetViews>
    <sheetView zoomScale="94" zoomScaleNormal="94" workbookViewId="0">
      <selection activeCell="H23" sqref="H23"/>
    </sheetView>
  </sheetViews>
  <sheetFormatPr baseColWidth="10" defaultRowHeight="14.4" x14ac:dyDescent="0.3"/>
  <cols>
    <col min="2" max="2" width="26.33203125" bestFit="1" customWidth="1"/>
    <col min="3" max="3" width="14.5546875" customWidth="1"/>
    <col min="4" max="4" width="34.5546875" bestFit="1" customWidth="1"/>
    <col min="5" max="5" width="22.21875" customWidth="1"/>
    <col min="6" max="6" width="25.21875" customWidth="1"/>
    <col min="7" max="7" width="25.44140625" bestFit="1" customWidth="1"/>
    <col min="8" max="8" width="15.109375" customWidth="1"/>
    <col min="9" max="38" width="17.109375" customWidth="1"/>
    <col min="39" max="39" width="18.21875" bestFit="1" customWidth="1"/>
    <col min="40" max="40" width="20.5546875" customWidth="1"/>
  </cols>
  <sheetData>
    <row r="2" spans="1:41" x14ac:dyDescent="0.3">
      <c r="G2" s="57" t="s">
        <v>25</v>
      </c>
      <c r="H2" s="57">
        <v>3.35</v>
      </c>
    </row>
    <row r="3" spans="1:41" ht="15" thickBot="1" x14ac:dyDescent="0.35"/>
    <row r="4" spans="1:41" ht="16.2" thickBot="1" x14ac:dyDescent="0.35">
      <c r="C4" s="23" t="s">
        <v>60</v>
      </c>
      <c r="D4" s="11" t="s">
        <v>0</v>
      </c>
      <c r="E4" s="19" t="s">
        <v>3</v>
      </c>
      <c r="F4" s="20" t="s">
        <v>4</v>
      </c>
      <c r="G4" s="21" t="s">
        <v>27</v>
      </c>
      <c r="H4" s="24" t="s">
        <v>5</v>
      </c>
    </row>
    <row r="5" spans="1:41" ht="18.45" customHeight="1" thickBot="1" x14ac:dyDescent="0.35">
      <c r="B5" s="15" t="s">
        <v>1</v>
      </c>
      <c r="C5" s="83" t="s">
        <v>36</v>
      </c>
      <c r="D5" s="9" t="s">
        <v>20</v>
      </c>
      <c r="E5" s="6">
        <v>4800</v>
      </c>
      <c r="F5" s="6"/>
      <c r="G5" s="6">
        <f>(Charge!$J$8+21.82+1154.798+3354)/Aout!H2</f>
        <v>1743.4680597014926</v>
      </c>
      <c r="H5" s="25">
        <f>E5-(F5+G5)</f>
        <v>3056.5319402985074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1:41" ht="16.2" customHeight="1" thickBot="1" x14ac:dyDescent="0.35">
      <c r="B6" s="131" t="s">
        <v>2</v>
      </c>
      <c r="C6" s="83" t="s">
        <v>36</v>
      </c>
      <c r="D6" s="9" t="s">
        <v>22</v>
      </c>
      <c r="E6" s="6">
        <f>3625+350</f>
        <v>3975</v>
      </c>
      <c r="F6" s="6"/>
      <c r="G6" s="6"/>
      <c r="H6" s="25">
        <f t="shared" ref="H6:H16" si="0">E6-(F6+G6)</f>
        <v>3975</v>
      </c>
    </row>
    <row r="7" spans="1:41" ht="16.2" customHeight="1" thickBot="1" x14ac:dyDescent="0.35">
      <c r="B7" s="132"/>
      <c r="C7" s="83" t="s">
        <v>36</v>
      </c>
      <c r="D7" s="16" t="s">
        <v>23</v>
      </c>
      <c r="E7" s="6">
        <v>5670</v>
      </c>
      <c r="F7" s="6">
        <f>21*225</f>
        <v>4725</v>
      </c>
      <c r="G7" s="6"/>
      <c r="H7" s="25">
        <f t="shared" si="0"/>
        <v>945</v>
      </c>
    </row>
    <row r="8" spans="1:41" ht="19.8" customHeight="1" thickBot="1" x14ac:dyDescent="0.35">
      <c r="B8" s="132"/>
      <c r="C8" s="83" t="s">
        <v>36</v>
      </c>
      <c r="D8" s="16" t="s">
        <v>29</v>
      </c>
      <c r="E8" s="12">
        <v>2970</v>
      </c>
      <c r="F8" s="6"/>
      <c r="G8" s="6"/>
      <c r="H8" s="25">
        <f t="shared" si="0"/>
        <v>2970</v>
      </c>
    </row>
    <row r="9" spans="1:41" ht="18.600000000000001" customHeight="1" thickBot="1" x14ac:dyDescent="0.35">
      <c r="B9" s="132"/>
      <c r="C9" s="83" t="s">
        <v>36</v>
      </c>
      <c r="D9" s="9" t="s">
        <v>24</v>
      </c>
      <c r="E9" s="12">
        <v>1050</v>
      </c>
      <c r="F9" s="6"/>
      <c r="G9" s="6"/>
      <c r="H9" s="25">
        <f t="shared" si="0"/>
        <v>1050</v>
      </c>
    </row>
    <row r="10" spans="1:41" ht="17.399999999999999" customHeight="1" thickBot="1" x14ac:dyDescent="0.35">
      <c r="B10" s="132"/>
      <c r="C10" s="83" t="s">
        <v>36</v>
      </c>
      <c r="D10" s="9" t="s">
        <v>26</v>
      </c>
      <c r="E10" s="12">
        <v>3240</v>
      </c>
      <c r="F10" s="6">
        <f>140*18</f>
        <v>2520</v>
      </c>
      <c r="G10" s="6"/>
      <c r="H10" s="25">
        <f t="shared" si="0"/>
        <v>720</v>
      </c>
    </row>
    <row r="11" spans="1:41" ht="18" customHeight="1" thickBot="1" x14ac:dyDescent="0.35">
      <c r="B11" s="132"/>
      <c r="C11" s="92" t="s">
        <v>36</v>
      </c>
      <c r="D11" s="78" t="s">
        <v>28</v>
      </c>
      <c r="E11" s="12">
        <f>6090+350</f>
        <v>6440</v>
      </c>
      <c r="F11" s="6">
        <f>20*21</f>
        <v>420</v>
      </c>
      <c r="G11" s="13"/>
      <c r="H11" s="25">
        <f t="shared" si="0"/>
        <v>6020</v>
      </c>
      <c r="I11" s="76" t="s">
        <v>118</v>
      </c>
    </row>
    <row r="12" spans="1:41" s="88" customFormat="1" ht="18" customHeight="1" x14ac:dyDescent="0.3">
      <c r="A12"/>
      <c r="B12"/>
      <c r="C12"/>
      <c r="D12"/>
      <c r="E12" s="124"/>
      <c r="F12" s="125"/>
      <c r="G12" s="5" t="s">
        <v>62</v>
      </c>
      <c r="H12" s="25">
        <f>SUM(H5:H11)</f>
        <v>18736.531940298508</v>
      </c>
      <c r="I12" s="89"/>
    </row>
    <row r="13" spans="1:41" s="113" customFormat="1" ht="18" customHeight="1" x14ac:dyDescent="0.3">
      <c r="A13"/>
      <c r="B13" s="122"/>
      <c r="C13" s="122"/>
      <c r="D13" s="118"/>
      <c r="E13" s="126"/>
      <c r="F13" s="119"/>
      <c r="G13" s="119"/>
      <c r="H13" s="119"/>
      <c r="I13" s="121"/>
    </row>
    <row r="14" spans="1:41" ht="16.2" customHeight="1" thickBot="1" x14ac:dyDescent="0.35">
      <c r="B14" s="132" t="s">
        <v>2</v>
      </c>
      <c r="C14" s="96" t="s">
        <v>37</v>
      </c>
      <c r="D14" s="97" t="s">
        <v>30</v>
      </c>
      <c r="E14" s="98">
        <v>4845</v>
      </c>
      <c r="F14" s="98">
        <f>(19*185)+(19*10)</f>
        <v>3705</v>
      </c>
      <c r="G14" s="98"/>
      <c r="H14" s="100">
        <f t="shared" si="0"/>
        <v>1140</v>
      </c>
    </row>
    <row r="15" spans="1:41" ht="16.2" customHeight="1" thickBot="1" x14ac:dyDescent="0.35">
      <c r="B15" s="132"/>
      <c r="C15" s="82" t="s">
        <v>37</v>
      </c>
      <c r="D15" s="9" t="s">
        <v>72</v>
      </c>
      <c r="E15" s="52">
        <v>1920</v>
      </c>
      <c r="F15" s="56">
        <f>6*200</f>
        <v>1200</v>
      </c>
      <c r="G15" s="56"/>
      <c r="H15" s="54">
        <f>E15-(F15+G15)</f>
        <v>720</v>
      </c>
    </row>
    <row r="16" spans="1:41" ht="16.2" customHeight="1" thickBot="1" x14ac:dyDescent="0.35">
      <c r="B16" s="132"/>
      <c r="C16" s="82" t="s">
        <v>37</v>
      </c>
      <c r="D16" s="9" t="s">
        <v>31</v>
      </c>
      <c r="E16" s="6">
        <f>6510</f>
        <v>6510</v>
      </c>
      <c r="F16" s="6">
        <f>21*200</f>
        <v>4200</v>
      </c>
      <c r="G16" s="6"/>
      <c r="H16" s="25">
        <f t="shared" si="0"/>
        <v>2310</v>
      </c>
    </row>
    <row r="17" spans="2:9" ht="15.6" customHeight="1" thickBot="1" x14ac:dyDescent="0.35">
      <c r="B17" s="132"/>
      <c r="C17" s="82" t="s">
        <v>37</v>
      </c>
      <c r="D17" s="79" t="s">
        <v>28</v>
      </c>
      <c r="E17" s="45"/>
      <c r="F17" s="46">
        <f>170*21</f>
        <v>3570</v>
      </c>
      <c r="G17" s="46"/>
      <c r="H17" s="25">
        <f>E17-(F17+G17)</f>
        <v>-3570</v>
      </c>
      <c r="I17" s="76" t="s">
        <v>117</v>
      </c>
    </row>
    <row r="18" spans="2:9" ht="16.05" customHeight="1" thickBot="1" x14ac:dyDescent="0.35">
      <c r="B18" s="132"/>
      <c r="C18" s="82" t="s">
        <v>37</v>
      </c>
      <c r="D18" s="9" t="s">
        <v>34</v>
      </c>
      <c r="E18" s="12">
        <f>9000/H2</f>
        <v>2686.5671641791046</v>
      </c>
      <c r="F18" s="6"/>
      <c r="G18" s="6"/>
      <c r="H18" s="25">
        <f>E18-(F18+G18)</f>
        <v>2686.5671641791046</v>
      </c>
      <c r="I18" s="77"/>
    </row>
    <row r="19" spans="2:9" ht="16.05" customHeight="1" thickBot="1" x14ac:dyDescent="0.35">
      <c r="B19" s="133"/>
      <c r="C19" s="82" t="s">
        <v>37</v>
      </c>
      <c r="D19" s="31" t="s">
        <v>68</v>
      </c>
      <c r="E19" s="32">
        <f>1500/H2</f>
        <v>447.76119402985074</v>
      </c>
      <c r="F19" s="6"/>
      <c r="G19" s="6"/>
      <c r="H19" s="25">
        <f>E19-(F19+G19)</f>
        <v>447.76119402985074</v>
      </c>
    </row>
    <row r="20" spans="2:9" ht="15.6" x14ac:dyDescent="0.3">
      <c r="G20" s="5" t="s">
        <v>63</v>
      </c>
      <c r="H20" s="51">
        <f>SUM(H14:H19)</f>
        <v>3734.3283582089553</v>
      </c>
    </row>
    <row r="21" spans="2:9" ht="15" thickBot="1" x14ac:dyDescent="0.35"/>
    <row r="22" spans="2:9" ht="15.6" x14ac:dyDescent="0.3">
      <c r="G22" s="5" t="s">
        <v>6</v>
      </c>
      <c r="H22" s="58">
        <f>H12+H20</f>
        <v>22470.860298507461</v>
      </c>
    </row>
  </sheetData>
  <mergeCells count="2">
    <mergeCell ref="B6:B11"/>
    <mergeCell ref="B14:B19"/>
  </mergeCells>
  <conditionalFormatting sqref="H22 H5:H11">
    <cfRule type="cellIs" dxfId="136" priority="59" operator="lessThan">
      <formula>0</formula>
    </cfRule>
    <cfRule type="cellIs" dxfId="135" priority="60" operator="greaterThan">
      <formula>0</formula>
    </cfRule>
  </conditionalFormatting>
  <conditionalFormatting sqref="E5:E7">
    <cfRule type="cellIs" dxfId="134" priority="55" operator="lessThan">
      <formula>0</formula>
    </cfRule>
    <cfRule type="cellIs" dxfId="133" priority="56" operator="greaterThanOrEqual">
      <formula>0</formula>
    </cfRule>
  </conditionalFormatting>
  <conditionalFormatting sqref="G5:G10 F5:F9 F11">
    <cfRule type="cellIs" dxfId="132" priority="43" operator="greaterThanOrEqual">
      <formula>0</formula>
    </cfRule>
    <cfRule type="cellIs" dxfId="131" priority="44" operator="lessThanOrEqual">
      <formula>0</formula>
    </cfRule>
  </conditionalFormatting>
  <conditionalFormatting sqref="F10">
    <cfRule type="cellIs" dxfId="130" priority="39" operator="greaterThanOrEqual">
      <formula>0</formula>
    </cfRule>
    <cfRule type="cellIs" dxfId="129" priority="40" operator="lessThanOrEqual">
      <formula>0</formula>
    </cfRule>
  </conditionalFormatting>
  <conditionalFormatting sqref="H14:H19">
    <cfRule type="cellIs" dxfId="128" priority="37" operator="lessThan">
      <formula>0</formula>
    </cfRule>
    <cfRule type="cellIs" dxfId="127" priority="38" operator="greaterThan">
      <formula>0</formula>
    </cfRule>
  </conditionalFormatting>
  <conditionalFormatting sqref="E14:E16">
    <cfRule type="cellIs" dxfId="126" priority="35" operator="lessThan">
      <formula>0</formula>
    </cfRule>
    <cfRule type="cellIs" dxfId="125" priority="36" operator="greaterThanOrEqual">
      <formula>0</formula>
    </cfRule>
  </conditionalFormatting>
  <conditionalFormatting sqref="F14:G16">
    <cfRule type="cellIs" dxfId="124" priority="33" operator="greaterThanOrEqual">
      <formula>0</formula>
    </cfRule>
    <cfRule type="cellIs" dxfId="123" priority="34" operator="lessThanOrEqual">
      <formula>0</formula>
    </cfRule>
  </conditionalFormatting>
  <conditionalFormatting sqref="F17">
    <cfRule type="cellIs" dxfId="122" priority="23" operator="greaterThanOrEqual">
      <formula>0</formula>
    </cfRule>
    <cfRule type="cellIs" dxfId="121" priority="24" operator="lessThanOrEqual">
      <formula>0</formula>
    </cfRule>
  </conditionalFormatting>
  <conditionalFormatting sqref="G17">
    <cfRule type="cellIs" dxfId="120" priority="19" operator="greaterThanOrEqual">
      <formula>0</formula>
    </cfRule>
    <cfRule type="cellIs" dxfId="119" priority="20" operator="lessThanOrEqual">
      <formula>0</formula>
    </cfRule>
  </conditionalFormatting>
  <conditionalFormatting sqref="F18">
    <cfRule type="cellIs" dxfId="118" priority="11" operator="greaterThanOrEqual">
      <formula>0</formula>
    </cfRule>
    <cfRule type="cellIs" dxfId="117" priority="12" operator="lessThanOrEqual">
      <formula>0</formula>
    </cfRule>
  </conditionalFormatting>
  <conditionalFormatting sqref="F19">
    <cfRule type="cellIs" dxfId="116" priority="9" operator="greaterThanOrEqual">
      <formula>0</formula>
    </cfRule>
    <cfRule type="cellIs" dxfId="115" priority="10" operator="lessThanOrEqual">
      <formula>0</formula>
    </cfRule>
  </conditionalFormatting>
  <conditionalFormatting sqref="G18">
    <cfRule type="cellIs" dxfId="114" priority="7" operator="greaterThanOrEqual">
      <formula>0</formula>
    </cfRule>
    <cfRule type="cellIs" dxfId="113" priority="8" operator="lessThanOrEqual">
      <formula>0</formula>
    </cfRule>
  </conditionalFormatting>
  <conditionalFormatting sqref="G19">
    <cfRule type="cellIs" dxfId="112" priority="5" operator="greaterThanOrEqual">
      <formula>0</formula>
    </cfRule>
    <cfRule type="cellIs" dxfId="111" priority="6" operator="lessThanOrEqual">
      <formula>0</formula>
    </cfRule>
  </conditionalFormatting>
  <conditionalFormatting sqref="H12">
    <cfRule type="cellIs" dxfId="110" priority="3" operator="lessThan">
      <formula>0</formula>
    </cfRule>
    <cfRule type="cellIs" dxfId="109" priority="4" operator="greaterThan">
      <formula>0</formula>
    </cfRule>
  </conditionalFormatting>
  <conditionalFormatting sqref="H20">
    <cfRule type="cellIs" dxfId="108" priority="1" operator="lessThan">
      <formula>0</formula>
    </cfRule>
    <cfRule type="cellIs" dxfId="107" priority="2" operator="greaterThan">
      <formula>0</formula>
    </cfRule>
  </conditionalFormatting>
  <pageMargins left="0.7" right="0.7" top="0.75" bottom="0.75" header="0.3" footer="0.3"/>
  <pageSetup paperSize="9" orientation="portrait" verticalDpi="300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N23"/>
  <sheetViews>
    <sheetView zoomScale="99" zoomScaleNormal="99" workbookViewId="0">
      <selection activeCell="H24" sqref="H24"/>
    </sheetView>
  </sheetViews>
  <sheetFormatPr baseColWidth="10" defaultRowHeight="14.4" x14ac:dyDescent="0.3"/>
  <cols>
    <col min="2" max="2" width="26.33203125" bestFit="1" customWidth="1"/>
    <col min="3" max="3" width="14.5546875" customWidth="1"/>
    <col min="4" max="4" width="33.6640625" bestFit="1" customWidth="1"/>
    <col min="5" max="5" width="22.21875" customWidth="1"/>
    <col min="6" max="6" width="25.21875" customWidth="1"/>
    <col min="7" max="7" width="25" bestFit="1" customWidth="1"/>
    <col min="8" max="8" width="28.109375" bestFit="1" customWidth="1"/>
    <col min="9" max="37" width="17.109375" customWidth="1"/>
    <col min="38" max="38" width="18.21875" bestFit="1" customWidth="1"/>
    <col min="39" max="39" width="20.5546875" customWidth="1"/>
  </cols>
  <sheetData>
    <row r="2" spans="2:40" x14ac:dyDescent="0.3">
      <c r="G2" s="57" t="s">
        <v>25</v>
      </c>
      <c r="H2" s="57">
        <v>3.35</v>
      </c>
    </row>
    <row r="3" spans="2:40" ht="15" thickBot="1" x14ac:dyDescent="0.35"/>
    <row r="4" spans="2:40" ht="16.2" thickBot="1" x14ac:dyDescent="0.35">
      <c r="C4" s="23" t="s">
        <v>60</v>
      </c>
      <c r="D4" s="11" t="s">
        <v>0</v>
      </c>
      <c r="E4" s="19" t="s">
        <v>3</v>
      </c>
      <c r="F4" s="20" t="s">
        <v>4</v>
      </c>
      <c r="G4" s="21" t="s">
        <v>27</v>
      </c>
      <c r="H4" s="24" t="s">
        <v>5</v>
      </c>
    </row>
    <row r="5" spans="2:40" ht="19.8" customHeight="1" thickBot="1" x14ac:dyDescent="0.35">
      <c r="B5" s="47" t="s">
        <v>1</v>
      </c>
      <c r="C5" s="83" t="s">
        <v>36</v>
      </c>
      <c r="D5" s="9" t="s">
        <v>20</v>
      </c>
      <c r="E5" s="6">
        <v>4560</v>
      </c>
      <c r="F5" s="6"/>
      <c r="G5" s="6">
        <f>(Charge!$K$8+21.82+1154.798+3354)/Septembre!H2</f>
        <v>1743.4680597014926</v>
      </c>
      <c r="H5" s="25">
        <f>Tableau9[[#This Row],[facturation client HT]]-(Tableau9[[#This Row],[facturation Fournisseur HT]]+Tableau9[[#This Row],[ Salaire NET]])</f>
        <v>2816.5319402985074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2:40" ht="16.2" customHeight="1" thickBot="1" x14ac:dyDescent="0.35">
      <c r="B6" s="132" t="s">
        <v>2</v>
      </c>
      <c r="C6" s="83" t="s">
        <v>36</v>
      </c>
      <c r="D6" s="16" t="s">
        <v>23</v>
      </c>
      <c r="E6" s="6">
        <v>5670</v>
      </c>
      <c r="F6" s="6">
        <f>225*21</f>
        <v>4725</v>
      </c>
      <c r="G6" s="6"/>
      <c r="H6" s="25">
        <f>Tableau9[[#This Row],[facturation client HT]]-(Tableau9[[#This Row],[facturation Fournisseur HT]]+Tableau9[[#This Row],[ Salaire NET]])</f>
        <v>945</v>
      </c>
    </row>
    <row r="7" spans="2:40" ht="16.2" customHeight="1" thickBot="1" x14ac:dyDescent="0.35">
      <c r="B7" s="132"/>
      <c r="C7" s="83" t="s">
        <v>36</v>
      </c>
      <c r="D7" s="16" t="s">
        <v>29</v>
      </c>
      <c r="E7" s="6">
        <v>3510</v>
      </c>
      <c r="F7" s="6"/>
      <c r="G7" s="6"/>
      <c r="H7" s="25">
        <f>Tableau9[[#This Row],[facturation client HT]]-(Tableau9[[#This Row],[facturation Fournisseur HT]]+Tableau9[[#This Row],[ Salaire NET]])</f>
        <v>3510</v>
      </c>
    </row>
    <row r="8" spans="2:40" ht="16.2" customHeight="1" thickBot="1" x14ac:dyDescent="0.35">
      <c r="B8" s="132"/>
      <c r="C8" s="83" t="s">
        <v>36</v>
      </c>
      <c r="D8" s="9" t="s">
        <v>24</v>
      </c>
      <c r="E8" s="6">
        <v>850</v>
      </c>
      <c r="F8" s="6"/>
      <c r="G8" s="6"/>
      <c r="H8" s="25">
        <f>Tableau9[[#This Row],[facturation client HT]]-(Tableau9[[#This Row],[facturation Fournisseur HT]]+Tableau9[[#This Row],[ Salaire NET]])</f>
        <v>850</v>
      </c>
    </row>
    <row r="9" spans="2:40" ht="16.2" customHeight="1" thickBot="1" x14ac:dyDescent="0.35">
      <c r="B9" s="132"/>
      <c r="C9" s="83" t="s">
        <v>36</v>
      </c>
      <c r="D9" s="9" t="s">
        <v>26</v>
      </c>
      <c r="E9" s="6">
        <v>3780</v>
      </c>
      <c r="F9" s="53">
        <f>21*140</f>
        <v>2940</v>
      </c>
      <c r="G9" s="6"/>
      <c r="H9" s="25">
        <f>Tableau9[[#This Row],[facturation client HT]]-(Tableau9[[#This Row],[facturation Fournisseur HT]]+Tableau9[[#This Row],[ Salaire NET]])</f>
        <v>840</v>
      </c>
    </row>
    <row r="10" spans="2:40" ht="16.2" customHeight="1" thickBot="1" x14ac:dyDescent="0.35">
      <c r="B10" s="132"/>
      <c r="C10" s="83" t="s">
        <v>36</v>
      </c>
      <c r="D10" s="78" t="s">
        <v>28</v>
      </c>
      <c r="E10" s="6">
        <f>6090</f>
        <v>6090</v>
      </c>
      <c r="F10" s="6"/>
      <c r="G10" s="6"/>
      <c r="H10" s="25">
        <f>Tableau9[[#This Row],[facturation client HT]]-(Tableau9[[#This Row],[facturation Fournisseur HT]]+Tableau9[[#This Row],[ Salaire NET]])</f>
        <v>6090</v>
      </c>
      <c r="I10" s="76" t="s">
        <v>118</v>
      </c>
    </row>
    <row r="11" spans="2:40" ht="16.2" customHeight="1" thickBot="1" x14ac:dyDescent="0.35">
      <c r="B11" s="132"/>
      <c r="C11" s="92" t="s">
        <v>36</v>
      </c>
      <c r="D11" s="114" t="s">
        <v>71</v>
      </c>
      <c r="E11" s="115">
        <v>3920</v>
      </c>
      <c r="F11" s="116">
        <f>200*14</f>
        <v>2800</v>
      </c>
      <c r="G11" s="115"/>
      <c r="H11" s="94">
        <f>Tableau9[[#This Row],[facturation client HT]]-(Tableau9[[#This Row],[facturation Fournisseur HT]]+Tableau9[[#This Row],[ Salaire NET]])</f>
        <v>1120</v>
      </c>
      <c r="I11" s="76"/>
    </row>
    <row r="12" spans="2:40" s="113" customFormat="1" ht="16.2" customHeight="1" x14ac:dyDescent="0.3">
      <c r="B12" s="117"/>
      <c r="C12" s="122"/>
      <c r="D12" s="123"/>
      <c r="E12" s="119"/>
      <c r="F12" s="119"/>
      <c r="G12" s="5" t="s">
        <v>62</v>
      </c>
      <c r="H12" s="25">
        <f>SUM(H5:H11)</f>
        <v>16171.531940298508</v>
      </c>
      <c r="I12" s="121"/>
    </row>
    <row r="13" spans="2:40" s="113" customFormat="1" ht="16.2" customHeight="1" x14ac:dyDescent="0.3">
      <c r="B13" s="117"/>
      <c r="C13" s="122"/>
      <c r="D13" s="118"/>
      <c r="E13" s="119"/>
      <c r="F13" s="120"/>
      <c r="G13" s="119"/>
      <c r="H13" s="119"/>
      <c r="I13" s="121"/>
    </row>
    <row r="14" spans="2:40" s="113" customFormat="1" ht="16.2" customHeight="1" thickBot="1" x14ac:dyDescent="0.35">
      <c r="B14" s="107"/>
      <c r="C14" s="96" t="s">
        <v>70</v>
      </c>
      <c r="D14" s="97" t="s">
        <v>30</v>
      </c>
      <c r="E14" s="98">
        <v>5355</v>
      </c>
      <c r="F14" s="98">
        <f>(21*185)+(21*10)</f>
        <v>4095</v>
      </c>
      <c r="G14" s="98"/>
      <c r="H14" s="25">
        <f>Tableau9[[#This Row],[facturation client HT]]-(Tableau9[[#This Row],[facturation Fournisseur HT]]+Tableau9[[#This Row],[ Salaire NET]])</f>
        <v>1260</v>
      </c>
      <c r="I14" s="121"/>
    </row>
    <row r="15" spans="2:40" ht="16.2" customHeight="1" thickBot="1" x14ac:dyDescent="0.35">
      <c r="B15" s="132" t="s">
        <v>2</v>
      </c>
      <c r="C15" s="82" t="s">
        <v>70</v>
      </c>
      <c r="D15" s="9" t="s">
        <v>31</v>
      </c>
      <c r="E15" s="6">
        <v>6510</v>
      </c>
      <c r="F15" s="6">
        <f>21*200</f>
        <v>4200</v>
      </c>
      <c r="G15" s="6"/>
      <c r="H15" s="25">
        <f>Tableau9[[#This Row],[facturation client HT]]-(Tableau9[[#This Row],[facturation Fournisseur HT]]+Tableau9[[#This Row],[ Salaire NET]])</f>
        <v>2310</v>
      </c>
    </row>
    <row r="16" spans="2:40" ht="16.2" customHeight="1" thickBot="1" x14ac:dyDescent="0.35">
      <c r="B16" s="132"/>
      <c r="C16" s="82" t="s">
        <v>70</v>
      </c>
      <c r="D16" s="16" t="s">
        <v>72</v>
      </c>
      <c r="E16" s="56">
        <v>4160</v>
      </c>
      <c r="F16" s="53">
        <f>13*200</f>
        <v>2600</v>
      </c>
      <c r="G16" s="56"/>
      <c r="H16" s="25">
        <f>Tableau9[[#This Row],[facturation client HT]]-(Tableau9[[#This Row],[facturation Fournisseur HT]]+Tableau9[[#This Row],[ Salaire NET]])</f>
        <v>1560</v>
      </c>
    </row>
    <row r="17" spans="2:9" ht="16.2" customHeight="1" thickBot="1" x14ac:dyDescent="0.35">
      <c r="B17" s="132"/>
      <c r="C17" s="82" t="s">
        <v>70</v>
      </c>
      <c r="D17" s="9" t="s">
        <v>69</v>
      </c>
      <c r="E17" s="56">
        <v>3520</v>
      </c>
      <c r="F17" s="53">
        <f>16*140</f>
        <v>2240</v>
      </c>
      <c r="G17" s="56"/>
      <c r="H17" s="25">
        <f>Tableau9[[#This Row],[facturation client HT]]-(Tableau9[[#This Row],[facturation Fournisseur HT]]+Tableau9[[#This Row],[ Salaire NET]])</f>
        <v>1280</v>
      </c>
    </row>
    <row r="18" spans="2:9" ht="16.2" customHeight="1" thickBot="1" x14ac:dyDescent="0.35">
      <c r="B18" s="132"/>
      <c r="C18" s="82" t="s">
        <v>70</v>
      </c>
      <c r="D18" s="9" t="s">
        <v>74</v>
      </c>
      <c r="E18" s="12">
        <f>3000/H2</f>
        <v>895.52238805970148</v>
      </c>
      <c r="F18" s="6">
        <f>3000/3.35</f>
        <v>895.52238805970148</v>
      </c>
      <c r="G18" s="13"/>
      <c r="H18" s="25">
        <f>Tableau9[[#This Row],[facturation client HT]]-(Tableau9[[#This Row],[facturation Fournisseur HT]]+Tableau9[[#This Row],[ Salaire NET]])</f>
        <v>0</v>
      </c>
    </row>
    <row r="19" spans="2:9" ht="19.8" customHeight="1" thickBot="1" x14ac:dyDescent="0.35">
      <c r="B19" s="132"/>
      <c r="C19" s="82" t="s">
        <v>70</v>
      </c>
      <c r="D19" s="78" t="s">
        <v>28</v>
      </c>
      <c r="E19" s="12"/>
      <c r="F19" s="6">
        <f>(21*170)+(20*21)</f>
        <v>3990</v>
      </c>
      <c r="G19" s="6"/>
      <c r="H19" s="25">
        <f>Tableau9[[#This Row],[facturation client HT]]-(Tableau9[[#This Row],[facturation Fournisseur HT]]+Tableau9[[#This Row],[ Salaire NET]])</f>
        <v>-3990</v>
      </c>
    </row>
    <row r="20" spans="2:9" ht="16.2" customHeight="1" thickBot="1" x14ac:dyDescent="0.35">
      <c r="B20" s="132"/>
      <c r="C20" s="82" t="s">
        <v>70</v>
      </c>
      <c r="D20" s="49" t="s">
        <v>68</v>
      </c>
      <c r="E20" s="12">
        <f>1500/H2</f>
        <v>447.76119402985074</v>
      </c>
      <c r="F20" s="6"/>
      <c r="G20" s="6"/>
      <c r="H20" s="25">
        <f>Tableau9[[#This Row],[facturation client HT]]-(Tableau9[[#This Row],[facturation Fournisseur HT]]+Tableau9[[#This Row],[ Salaire NET]])</f>
        <v>447.76119402985074</v>
      </c>
      <c r="I20" s="76" t="s">
        <v>117</v>
      </c>
    </row>
    <row r="21" spans="2:9" ht="16.05" customHeight="1" x14ac:dyDescent="0.3">
      <c r="B21" s="107"/>
      <c r="G21" s="5" t="s">
        <v>63</v>
      </c>
      <c r="H21" s="51">
        <f>SUM(H14:H20)</f>
        <v>2867.7611940298507</v>
      </c>
    </row>
    <row r="22" spans="2:9" ht="16.05" customHeight="1" thickBot="1" x14ac:dyDescent="0.35">
      <c r="B22" s="117"/>
    </row>
    <row r="23" spans="2:9" ht="15.6" x14ac:dyDescent="0.3">
      <c r="E23" s="10"/>
      <c r="G23" s="5" t="s">
        <v>6</v>
      </c>
      <c r="H23" s="51">
        <f>H12+H21</f>
        <v>19039.29313432836</v>
      </c>
    </row>
  </sheetData>
  <mergeCells count="2">
    <mergeCell ref="B6:B11"/>
    <mergeCell ref="B15:B20"/>
  </mergeCells>
  <conditionalFormatting sqref="H15:H20 H5:H11">
    <cfRule type="cellIs" dxfId="99" priority="73" operator="lessThan">
      <formula>0</formula>
    </cfRule>
    <cfRule type="cellIs" dxfId="98" priority="74" operator="greaterThan">
      <formula>0</formula>
    </cfRule>
  </conditionalFormatting>
  <conditionalFormatting sqref="E14:E17 E5:E11">
    <cfRule type="cellIs" dxfId="97" priority="69" operator="lessThan">
      <formula>0</formula>
    </cfRule>
    <cfRule type="cellIs" dxfId="96" priority="70" operator="greaterThanOrEqual">
      <formula>0</formula>
    </cfRule>
  </conditionalFormatting>
  <conditionalFormatting sqref="G5:G10 G14:G17 F15:F18 F11:G11">
    <cfRule type="cellIs" dxfId="95" priority="67" operator="greaterThanOrEqual">
      <formula>0</formula>
    </cfRule>
    <cfRule type="cellIs" dxfId="94" priority="68" operator="lessThanOrEqual">
      <formula>0</formula>
    </cfRule>
  </conditionalFormatting>
  <conditionalFormatting sqref="F5:F8 F14">
    <cfRule type="cellIs" dxfId="93" priority="43" operator="greaterThanOrEqual">
      <formula>0</formula>
    </cfRule>
    <cfRule type="cellIs" dxfId="92" priority="44" operator="lessThanOrEqual">
      <formula>0</formula>
    </cfRule>
  </conditionalFormatting>
  <conditionalFormatting sqref="F10">
    <cfRule type="cellIs" dxfId="91" priority="41" operator="greaterThanOrEqual">
      <formula>0</formula>
    </cfRule>
    <cfRule type="cellIs" dxfId="90" priority="42" operator="lessThanOrEqual">
      <formula>0</formula>
    </cfRule>
  </conditionalFormatting>
  <conditionalFormatting sqref="G19">
    <cfRule type="cellIs" dxfId="89" priority="25" operator="greaterThanOrEqual">
      <formula>0</formula>
    </cfRule>
    <cfRule type="cellIs" dxfId="88" priority="26" operator="lessThanOrEqual">
      <formula>0</formula>
    </cfRule>
  </conditionalFormatting>
  <conditionalFormatting sqref="G20">
    <cfRule type="cellIs" dxfId="87" priority="21" operator="greaterThanOrEqual">
      <formula>0</formula>
    </cfRule>
    <cfRule type="cellIs" dxfId="86" priority="22" operator="lessThanOrEqual">
      <formula>0</formula>
    </cfRule>
  </conditionalFormatting>
  <conditionalFormatting sqref="F20">
    <cfRule type="cellIs" dxfId="85" priority="19" operator="greaterThanOrEqual">
      <formula>0</formula>
    </cfRule>
    <cfRule type="cellIs" dxfId="84" priority="20" operator="lessThanOrEqual">
      <formula>0</formula>
    </cfRule>
  </conditionalFormatting>
  <conditionalFormatting sqref="F19">
    <cfRule type="cellIs" dxfId="83" priority="17" operator="greaterThanOrEqual">
      <formula>0</formula>
    </cfRule>
    <cfRule type="cellIs" dxfId="82" priority="18" operator="lessThanOrEqual">
      <formula>0</formula>
    </cfRule>
  </conditionalFormatting>
  <conditionalFormatting sqref="F9">
    <cfRule type="cellIs" dxfId="81" priority="13" operator="greaterThanOrEqual">
      <formula>0</formula>
    </cfRule>
    <cfRule type="cellIs" dxfId="80" priority="14" operator="lessThanOrEqual">
      <formula>0</formula>
    </cfRule>
  </conditionalFormatting>
  <conditionalFormatting sqref="H12">
    <cfRule type="cellIs" dxfId="79" priority="7" operator="lessThan">
      <formula>0</formula>
    </cfRule>
    <cfRule type="cellIs" dxfId="78" priority="8" operator="greaterThan">
      <formula>0</formula>
    </cfRule>
  </conditionalFormatting>
  <conditionalFormatting sqref="H21">
    <cfRule type="cellIs" dxfId="77" priority="5" operator="lessThan">
      <formula>0</formula>
    </cfRule>
    <cfRule type="cellIs" dxfId="76" priority="6" operator="greaterThan">
      <formula>0</formula>
    </cfRule>
  </conditionalFormatting>
  <conditionalFormatting sqref="H14">
    <cfRule type="cellIs" dxfId="75" priority="3" operator="lessThan">
      <formula>0</formula>
    </cfRule>
    <cfRule type="cellIs" dxfId="74" priority="4" operator="greaterThan">
      <formula>0</formula>
    </cfRule>
  </conditionalFormatting>
  <conditionalFormatting sqref="H23">
    <cfRule type="cellIs" dxfId="73" priority="1" operator="lessThan">
      <formula>0</formula>
    </cfRule>
    <cfRule type="cellIs" dxfId="72" priority="2" operator="greaterThan">
      <formula>0</formula>
    </cfRule>
  </conditionalFormatting>
  <pageMargins left="0.7" right="0.7" top="0.75" bottom="0.75" header="0.3" footer="0.3"/>
  <ignoredErrors>
    <ignoredError sqref="F6 F9 F14:F17 F19" calculatedColumn="1"/>
  </ignoredErrors>
  <legacyDrawing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22"/>
  <sheetViews>
    <sheetView zoomScale="102" zoomScaleNormal="102" workbookViewId="0">
      <selection activeCell="H23" sqref="H23"/>
    </sheetView>
  </sheetViews>
  <sheetFormatPr baseColWidth="10" defaultRowHeight="14.4" x14ac:dyDescent="0.3"/>
  <cols>
    <col min="2" max="2" width="25.77734375" bestFit="1" customWidth="1"/>
    <col min="3" max="3" width="14.77734375" bestFit="1" customWidth="1"/>
    <col min="4" max="4" width="31.21875" bestFit="1" customWidth="1"/>
    <col min="5" max="5" width="22.109375" bestFit="1" customWidth="1"/>
    <col min="6" max="6" width="25.6640625" bestFit="1" customWidth="1"/>
    <col min="7" max="7" width="24.109375" bestFit="1" customWidth="1"/>
    <col min="8" max="8" width="15.5546875" bestFit="1" customWidth="1"/>
    <col min="9" max="9" width="17.109375" customWidth="1"/>
    <col min="10" max="10" width="72.6640625" bestFit="1" customWidth="1"/>
    <col min="11" max="38" width="17.109375" customWidth="1"/>
    <col min="39" max="39" width="18.21875" bestFit="1" customWidth="1"/>
    <col min="40" max="40" width="20.5546875" customWidth="1"/>
  </cols>
  <sheetData>
    <row r="2" spans="2:41" x14ac:dyDescent="0.3">
      <c r="G2" s="57" t="s">
        <v>25</v>
      </c>
      <c r="H2" s="57">
        <v>3.35</v>
      </c>
    </row>
    <row r="3" spans="2:41" ht="15" thickBot="1" x14ac:dyDescent="0.35"/>
    <row r="4" spans="2:41" ht="16.2" thickBot="1" x14ac:dyDescent="0.35">
      <c r="C4" s="23" t="s">
        <v>60</v>
      </c>
      <c r="D4" s="11" t="s">
        <v>0</v>
      </c>
      <c r="E4" s="19" t="s">
        <v>3</v>
      </c>
      <c r="F4" s="20" t="s">
        <v>4</v>
      </c>
      <c r="G4" s="21" t="s">
        <v>27</v>
      </c>
      <c r="H4" s="24" t="s">
        <v>5</v>
      </c>
    </row>
    <row r="5" spans="2:41" ht="29.4" thickBot="1" x14ac:dyDescent="0.35">
      <c r="B5" s="50" t="s">
        <v>1</v>
      </c>
      <c r="C5" s="83" t="s">
        <v>36</v>
      </c>
      <c r="D5" s="9" t="s">
        <v>20</v>
      </c>
      <c r="E5" s="6">
        <v>5280</v>
      </c>
      <c r="F5" s="51"/>
      <c r="G5" s="51">
        <f>(1557+21.82+1154.798+3354)/H2</f>
        <v>1817.1994029850746</v>
      </c>
      <c r="H5" s="25">
        <f>E5-(F5+G5)</f>
        <v>3462.8005970149252</v>
      </c>
      <c r="I5" s="1"/>
      <c r="J5" s="74" t="s">
        <v>112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2:41" ht="16.2" thickBot="1" x14ac:dyDescent="0.35">
      <c r="B6" s="132" t="s">
        <v>2</v>
      </c>
      <c r="C6" s="83" t="s">
        <v>36</v>
      </c>
      <c r="D6" s="16" t="s">
        <v>29</v>
      </c>
      <c r="E6" s="6">
        <v>3510</v>
      </c>
      <c r="F6" s="51"/>
      <c r="G6" s="51"/>
      <c r="H6" s="25">
        <f t="shared" ref="H6:H19" si="0">E6-(F6+G6)</f>
        <v>3510</v>
      </c>
    </row>
    <row r="7" spans="2:41" ht="16.2" thickBot="1" x14ac:dyDescent="0.35">
      <c r="B7" s="132"/>
      <c r="C7" s="83" t="s">
        <v>36</v>
      </c>
      <c r="D7" s="9" t="s">
        <v>26</v>
      </c>
      <c r="E7" s="12">
        <v>4140</v>
      </c>
      <c r="F7" s="53">
        <f>23*140</f>
        <v>3220</v>
      </c>
      <c r="G7" s="51"/>
      <c r="H7" s="25">
        <f t="shared" si="0"/>
        <v>920</v>
      </c>
    </row>
    <row r="8" spans="2:41" ht="16.2" thickBot="1" x14ac:dyDescent="0.35">
      <c r="B8" s="132"/>
      <c r="C8" s="83" t="s">
        <v>36</v>
      </c>
      <c r="D8" s="55" t="s">
        <v>71</v>
      </c>
      <c r="E8" s="52">
        <v>5320</v>
      </c>
      <c r="F8" s="53">
        <f>200*19</f>
        <v>3800</v>
      </c>
      <c r="G8" s="53"/>
      <c r="H8" s="54">
        <f>E8-(F8+G8)</f>
        <v>1520</v>
      </c>
    </row>
    <row r="9" spans="2:41" ht="16.2" thickBot="1" x14ac:dyDescent="0.35">
      <c r="B9" s="132"/>
      <c r="C9" s="92" t="s">
        <v>36</v>
      </c>
      <c r="D9" s="31" t="s">
        <v>23</v>
      </c>
      <c r="E9" s="33">
        <v>5130</v>
      </c>
      <c r="F9" s="93">
        <f>19*225</f>
        <v>4275</v>
      </c>
      <c r="G9" s="93"/>
      <c r="H9" s="94">
        <f t="shared" si="0"/>
        <v>855</v>
      </c>
    </row>
    <row r="10" spans="2:41" s="106" customFormat="1" ht="16.2" customHeight="1" x14ac:dyDescent="0.3">
      <c r="B10" s="101"/>
      <c r="C10" s="102"/>
      <c r="D10" s="103"/>
      <c r="E10" s="104"/>
      <c r="F10" s="105"/>
      <c r="G10" s="5" t="s">
        <v>62</v>
      </c>
      <c r="H10" s="94">
        <f>SUM(H5:H9)</f>
        <v>10267.800597014924</v>
      </c>
    </row>
    <row r="11" spans="2:41" s="113" customFormat="1" ht="16.2" customHeight="1" x14ac:dyDescent="0.3">
      <c r="B11" s="107"/>
      <c r="C11" s="108"/>
      <c r="D11" s="109"/>
      <c r="E11" s="110"/>
      <c r="F11" s="111"/>
      <c r="G11" s="111"/>
      <c r="H11" s="112"/>
    </row>
    <row r="12" spans="2:41" ht="16.2" thickBot="1" x14ac:dyDescent="0.35">
      <c r="B12" s="132" t="s">
        <v>2</v>
      </c>
      <c r="C12" s="96" t="s">
        <v>37</v>
      </c>
      <c r="D12" s="97" t="s">
        <v>24</v>
      </c>
      <c r="E12" s="98">
        <f>22.5*50</f>
        <v>1125</v>
      </c>
      <c r="F12" s="99"/>
      <c r="G12" s="99"/>
      <c r="H12" s="100">
        <f>E12-(F12+G12)</f>
        <v>1125</v>
      </c>
    </row>
    <row r="13" spans="2:41" ht="16.2" thickBot="1" x14ac:dyDescent="0.35">
      <c r="B13" s="132"/>
      <c r="C13" s="82" t="s">
        <v>37</v>
      </c>
      <c r="D13" s="9" t="s">
        <v>69</v>
      </c>
      <c r="E13" s="6">
        <f>23*220</f>
        <v>5060</v>
      </c>
      <c r="F13" s="51">
        <f>23*140</f>
        <v>3220</v>
      </c>
      <c r="G13" s="51"/>
      <c r="H13" s="25">
        <f>E13-(F13+G13)</f>
        <v>1840</v>
      </c>
    </row>
    <row r="14" spans="2:41" ht="16.2" thickBot="1" x14ac:dyDescent="0.35">
      <c r="B14" s="132"/>
      <c r="C14" s="82" t="s">
        <v>37</v>
      </c>
      <c r="D14" s="9" t="s">
        <v>28</v>
      </c>
      <c r="E14" s="12">
        <f>270*23</f>
        <v>6210</v>
      </c>
      <c r="F14" s="51">
        <f>(23*170)+(23*20)</f>
        <v>4370</v>
      </c>
      <c r="G14" s="51"/>
      <c r="H14" s="25">
        <f>E14-(F14+G14)</f>
        <v>1840</v>
      </c>
    </row>
    <row r="15" spans="2:41" ht="16.2" thickBot="1" x14ac:dyDescent="0.35">
      <c r="B15" s="132"/>
      <c r="C15" s="82" t="s">
        <v>37</v>
      </c>
      <c r="D15" s="9" t="s">
        <v>72</v>
      </c>
      <c r="E15" s="6">
        <f>320*14</f>
        <v>4480</v>
      </c>
      <c r="F15" s="51">
        <f>14*200</f>
        <v>2800</v>
      </c>
      <c r="G15" s="51"/>
      <c r="H15" s="25">
        <f t="shared" si="0"/>
        <v>1680</v>
      </c>
    </row>
    <row r="16" spans="2:41" ht="16.2" thickBot="1" x14ac:dyDescent="0.35">
      <c r="B16" s="132"/>
      <c r="C16" s="82" t="s">
        <v>37</v>
      </c>
      <c r="D16" s="9" t="s">
        <v>73</v>
      </c>
      <c r="E16" s="52">
        <f>290*14</f>
        <v>4060</v>
      </c>
      <c r="F16" s="53">
        <f>14*200</f>
        <v>2800</v>
      </c>
      <c r="G16" s="53"/>
      <c r="H16" s="54">
        <f>E16-(F16+G16)</f>
        <v>1260</v>
      </c>
    </row>
    <row r="17" spans="2:8" ht="16.2" thickBot="1" x14ac:dyDescent="0.35">
      <c r="B17" s="132"/>
      <c r="C17" s="82" t="s">
        <v>37</v>
      </c>
      <c r="D17" s="9" t="s">
        <v>30</v>
      </c>
      <c r="E17" s="12">
        <f>255*23</f>
        <v>5865</v>
      </c>
      <c r="F17" s="51">
        <f>(23*185)+(23*10)</f>
        <v>4485</v>
      </c>
      <c r="G17" s="51"/>
      <c r="H17" s="25">
        <f t="shared" si="0"/>
        <v>1380</v>
      </c>
    </row>
    <row r="18" spans="2:8" ht="16.2" thickBot="1" x14ac:dyDescent="0.35">
      <c r="B18" s="132"/>
      <c r="C18" s="82" t="s">
        <v>37</v>
      </c>
      <c r="D18" s="9" t="s">
        <v>31</v>
      </c>
      <c r="E18" s="12">
        <f>280*22.5</f>
        <v>6300</v>
      </c>
      <c r="F18" s="51">
        <f>22.5*200</f>
        <v>4500</v>
      </c>
      <c r="G18" s="51"/>
      <c r="H18" s="25">
        <f t="shared" si="0"/>
        <v>1800</v>
      </c>
    </row>
    <row r="19" spans="2:8" ht="16.2" thickBot="1" x14ac:dyDescent="0.35">
      <c r="B19" s="133"/>
      <c r="C19" s="82" t="s">
        <v>37</v>
      </c>
      <c r="D19" s="9" t="s">
        <v>68</v>
      </c>
      <c r="E19" s="12">
        <f>1500/H2</f>
        <v>447.76119402985074</v>
      </c>
      <c r="F19" s="51"/>
      <c r="G19" s="51"/>
      <c r="H19" s="25">
        <f t="shared" si="0"/>
        <v>447.76119402985074</v>
      </c>
    </row>
    <row r="20" spans="2:8" ht="15.6" x14ac:dyDescent="0.3">
      <c r="G20" s="5" t="s">
        <v>63</v>
      </c>
      <c r="H20" s="95">
        <f>SUM(H12:H19)</f>
        <v>11372.76119402985</v>
      </c>
    </row>
    <row r="21" spans="2:8" ht="15" thickBot="1" x14ac:dyDescent="0.35"/>
    <row r="22" spans="2:8" ht="15.6" x14ac:dyDescent="0.3">
      <c r="G22" s="5" t="s">
        <v>6</v>
      </c>
      <c r="H22" s="95">
        <f>H10+H20</f>
        <v>21640.561791044776</v>
      </c>
    </row>
  </sheetData>
  <mergeCells count="2">
    <mergeCell ref="B6:B9"/>
    <mergeCell ref="B12:B19"/>
  </mergeCells>
  <conditionalFormatting sqref="H5:H9 H12:H19">
    <cfRule type="cellIs" dxfId="58" priority="51" operator="lessThan">
      <formula>0</formula>
    </cfRule>
    <cfRule type="cellIs" dxfId="57" priority="52" operator="greaterThan">
      <formula>0</formula>
    </cfRule>
  </conditionalFormatting>
  <conditionalFormatting sqref="E5:E6 E8:E9 E12:E13">
    <cfRule type="cellIs" dxfId="56" priority="47" operator="lessThan">
      <formula>0</formula>
    </cfRule>
    <cfRule type="cellIs" dxfId="55" priority="48" operator="greaterThanOrEqual">
      <formula>0</formula>
    </cfRule>
  </conditionalFormatting>
  <conditionalFormatting sqref="G15:G18 F5:G9 F12:G14">
    <cfRule type="cellIs" dxfId="54" priority="25" operator="greaterThanOrEqual">
      <formula>0</formula>
    </cfRule>
    <cfRule type="cellIs" dxfId="53" priority="26" operator="lessThanOrEqual">
      <formula>0</formula>
    </cfRule>
  </conditionalFormatting>
  <conditionalFormatting sqref="F17">
    <cfRule type="cellIs" dxfId="52" priority="23" operator="greaterThanOrEqual">
      <formula>0</formula>
    </cfRule>
    <cfRule type="cellIs" dxfId="51" priority="24" operator="lessThanOrEqual">
      <formula>0</formula>
    </cfRule>
  </conditionalFormatting>
  <conditionalFormatting sqref="F15:F16">
    <cfRule type="cellIs" dxfId="50" priority="21" operator="greaterThanOrEqual">
      <formula>0</formula>
    </cfRule>
    <cfRule type="cellIs" dxfId="49" priority="22" operator="lessThanOrEqual">
      <formula>0</formula>
    </cfRule>
  </conditionalFormatting>
  <conditionalFormatting sqref="F18">
    <cfRule type="cellIs" dxfId="48" priority="19" operator="greaterThanOrEqual">
      <formula>0</formula>
    </cfRule>
    <cfRule type="cellIs" dxfId="47" priority="20" operator="lessThanOrEqual">
      <formula>0</formula>
    </cfRule>
  </conditionalFormatting>
  <conditionalFormatting sqref="G19">
    <cfRule type="cellIs" dxfId="46" priority="15" operator="greaterThanOrEqual">
      <formula>0</formula>
    </cfRule>
    <cfRule type="cellIs" dxfId="45" priority="16" operator="lessThanOrEqual">
      <formula>0</formula>
    </cfRule>
  </conditionalFormatting>
  <conditionalFormatting sqref="F19">
    <cfRule type="cellIs" dxfId="44" priority="11" operator="greaterThanOrEqual">
      <formula>0</formula>
    </cfRule>
    <cfRule type="cellIs" dxfId="43" priority="12" operator="lessThanOrEqual">
      <formula>0</formula>
    </cfRule>
  </conditionalFormatting>
  <conditionalFormatting sqref="E15:E16">
    <cfRule type="cellIs" dxfId="42" priority="7" operator="lessThan">
      <formula>0</formula>
    </cfRule>
    <cfRule type="cellIs" dxfId="41" priority="8" operator="greaterThanOrEqual">
      <formula>0</formula>
    </cfRule>
  </conditionalFormatting>
  <conditionalFormatting sqref="H10">
    <cfRule type="cellIs" dxfId="40" priority="5" operator="lessThan">
      <formula>0</formula>
    </cfRule>
    <cfRule type="cellIs" dxfId="39" priority="6" operator="greaterThan">
      <formula>0</formula>
    </cfRule>
  </conditionalFormatting>
  <conditionalFormatting sqref="H20">
    <cfRule type="cellIs" dxfId="38" priority="3" operator="lessThan">
      <formula>0</formula>
    </cfRule>
    <cfRule type="cellIs" dxfId="37" priority="4" operator="greaterThan">
      <formula>0</formula>
    </cfRule>
  </conditionalFormatting>
  <conditionalFormatting sqref="H22">
    <cfRule type="cellIs" dxfId="36" priority="1" operator="lessThan">
      <formula>0</formula>
    </cfRule>
    <cfRule type="cellIs" dxfId="35" priority="2" operator="greaterThan">
      <formula>0</formula>
    </cfRule>
  </conditionalFormatting>
  <pageMargins left="0.7" right="0.7" top="0.75" bottom="0.75" header="0.3" footer="0.3"/>
  <pageSetup paperSize="9" orientation="portrait" verticalDpi="300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O23"/>
  <sheetViews>
    <sheetView zoomScale="99" zoomScaleNormal="99" workbookViewId="0">
      <selection activeCell="H24" sqref="H24"/>
    </sheetView>
  </sheetViews>
  <sheetFormatPr baseColWidth="10" defaultRowHeight="14.4" x14ac:dyDescent="0.3"/>
  <cols>
    <col min="2" max="2" width="26" bestFit="1" customWidth="1"/>
    <col min="3" max="3" width="14" bestFit="1" customWidth="1"/>
    <col min="4" max="4" width="30.88671875" bestFit="1" customWidth="1"/>
    <col min="5" max="5" width="19.6640625" bestFit="1" customWidth="1"/>
    <col min="6" max="7" width="23.6640625" bestFit="1" customWidth="1"/>
    <col min="8" max="8" width="13" bestFit="1" customWidth="1"/>
    <col min="9" max="9" width="17.109375" customWidth="1"/>
    <col min="10" max="10" width="73.33203125" bestFit="1" customWidth="1"/>
    <col min="11" max="38" width="17.109375" customWidth="1"/>
    <col min="39" max="39" width="18.21875" bestFit="1" customWidth="1"/>
    <col min="40" max="40" width="20.5546875" customWidth="1"/>
  </cols>
  <sheetData>
    <row r="2" spans="2:41" x14ac:dyDescent="0.3">
      <c r="G2" s="57" t="s">
        <v>25</v>
      </c>
      <c r="H2" s="57">
        <v>3.35</v>
      </c>
    </row>
    <row r="3" spans="2:41" ht="15" thickBot="1" x14ac:dyDescent="0.35"/>
    <row r="4" spans="2:41" ht="16.2" thickBot="1" x14ac:dyDescent="0.35">
      <c r="C4" s="11" t="s">
        <v>60</v>
      </c>
      <c r="D4" s="11" t="s">
        <v>0</v>
      </c>
      <c r="E4" s="19" t="s">
        <v>3</v>
      </c>
      <c r="F4" s="20" t="s">
        <v>4</v>
      </c>
      <c r="G4" s="21" t="s">
        <v>27</v>
      </c>
      <c r="H4" s="22" t="s">
        <v>5</v>
      </c>
    </row>
    <row r="5" spans="2:41" ht="29.4" thickBot="1" x14ac:dyDescent="0.35">
      <c r="B5" s="18" t="s">
        <v>1</v>
      </c>
      <c r="C5" s="83" t="s">
        <v>36</v>
      </c>
      <c r="D5" s="9" t="s">
        <v>20</v>
      </c>
      <c r="E5" s="6">
        <v>4320</v>
      </c>
      <c r="F5" s="6"/>
      <c r="G5" s="6">
        <f>(1557+21.82+1154.798+3354)/H2</f>
        <v>1817.1994029850746</v>
      </c>
      <c r="H5" s="6">
        <f>E5-(F5+G5)</f>
        <v>2502.8005970149252</v>
      </c>
      <c r="I5" s="1"/>
      <c r="J5" s="74" t="s">
        <v>112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2:41" ht="16.05" customHeight="1" thickBot="1" x14ac:dyDescent="0.35">
      <c r="B6" s="135" t="s">
        <v>2</v>
      </c>
      <c r="C6" s="83" t="s">
        <v>36</v>
      </c>
      <c r="D6" s="16" t="s">
        <v>29</v>
      </c>
      <c r="E6" s="6">
        <v>4050</v>
      </c>
      <c r="F6" s="6"/>
      <c r="G6" s="6"/>
      <c r="H6" s="6">
        <f t="shared" ref="H6:H19" si="0">E6-(F6+G6)</f>
        <v>4050</v>
      </c>
    </row>
    <row r="7" spans="2:41" ht="16.05" customHeight="1" thickBot="1" x14ac:dyDescent="0.35">
      <c r="B7" s="134"/>
      <c r="C7" s="83" t="s">
        <v>36</v>
      </c>
      <c r="D7" s="9" t="s">
        <v>26</v>
      </c>
      <c r="E7" s="6">
        <v>3420</v>
      </c>
      <c r="F7" s="6">
        <f>19*140</f>
        <v>2660</v>
      </c>
      <c r="G7" s="6"/>
      <c r="H7" s="6">
        <f t="shared" si="0"/>
        <v>760</v>
      </c>
    </row>
    <row r="8" spans="2:41" ht="16.05" customHeight="1" thickBot="1" x14ac:dyDescent="0.35">
      <c r="B8" s="134"/>
      <c r="C8" s="83" t="s">
        <v>36</v>
      </c>
      <c r="D8" s="9" t="s">
        <v>71</v>
      </c>
      <c r="E8" s="12">
        <f>17*280</f>
        <v>4760</v>
      </c>
      <c r="F8" s="13">
        <f>200*17</f>
        <v>3400</v>
      </c>
      <c r="G8" s="13"/>
      <c r="H8" s="6">
        <f>E8-(F8+G8)</f>
        <v>1360</v>
      </c>
    </row>
    <row r="9" spans="2:41" ht="16.05" customHeight="1" thickBot="1" x14ac:dyDescent="0.35">
      <c r="B9" s="134"/>
      <c r="C9" s="83" t="s">
        <v>36</v>
      </c>
      <c r="D9" s="9" t="s">
        <v>23</v>
      </c>
      <c r="E9" s="12">
        <v>5670</v>
      </c>
      <c r="F9" s="13">
        <f>21*225</f>
        <v>4725</v>
      </c>
      <c r="G9" s="13"/>
      <c r="H9" s="6">
        <f t="shared" si="0"/>
        <v>945</v>
      </c>
    </row>
    <row r="10" spans="2:41" s="88" customFormat="1" ht="16.05" customHeight="1" x14ac:dyDescent="0.3">
      <c r="B10" s="90"/>
      <c r="G10" s="5" t="s">
        <v>62</v>
      </c>
      <c r="H10" s="6">
        <f>SUM(H5:H9)</f>
        <v>9617.8005970149243</v>
      </c>
    </row>
    <row r="11" spans="2:41" s="88" customFormat="1" ht="16.05" customHeight="1" thickBot="1" x14ac:dyDescent="0.35">
      <c r="B11" s="90"/>
    </row>
    <row r="12" spans="2:41" ht="16.05" customHeight="1" thickBot="1" x14ac:dyDescent="0.35">
      <c r="B12" s="134" t="s">
        <v>2</v>
      </c>
      <c r="C12" s="82" t="s">
        <v>37</v>
      </c>
      <c r="D12" s="9" t="s">
        <v>28</v>
      </c>
      <c r="E12" s="6">
        <f>16*270</f>
        <v>4320</v>
      </c>
      <c r="F12" s="6">
        <f>(16*170)+(16*20)</f>
        <v>3040</v>
      </c>
      <c r="G12" s="6"/>
      <c r="H12" s="6">
        <f>E12-(F12+G12)</f>
        <v>1280</v>
      </c>
    </row>
    <row r="13" spans="2:41" ht="16.05" customHeight="1" thickBot="1" x14ac:dyDescent="0.35">
      <c r="B13" s="134"/>
      <c r="C13" s="82" t="s">
        <v>37</v>
      </c>
      <c r="D13" s="9" t="s">
        <v>24</v>
      </c>
      <c r="E13" s="12">
        <f>19*50</f>
        <v>950</v>
      </c>
      <c r="F13" s="13"/>
      <c r="G13" s="13"/>
      <c r="H13" s="6">
        <f>E13-(F13+G13)</f>
        <v>950</v>
      </c>
    </row>
    <row r="14" spans="2:41" ht="16.05" customHeight="1" thickBot="1" x14ac:dyDescent="0.35">
      <c r="B14" s="134"/>
      <c r="C14" s="82" t="s">
        <v>37</v>
      </c>
      <c r="D14" s="9" t="s">
        <v>69</v>
      </c>
      <c r="E14" s="12">
        <f>21*220</f>
        <v>4620</v>
      </c>
      <c r="F14" s="13">
        <f>21*140</f>
        <v>2940</v>
      </c>
      <c r="G14" s="13"/>
      <c r="H14" s="6">
        <f>E14-(F14+G14)</f>
        <v>1680</v>
      </c>
    </row>
    <row r="15" spans="2:41" ht="16.05" customHeight="1" thickBot="1" x14ac:dyDescent="0.35">
      <c r="B15" s="134"/>
      <c r="C15" s="82" t="s">
        <v>37</v>
      </c>
      <c r="D15" s="9" t="s">
        <v>72</v>
      </c>
      <c r="E15" s="12">
        <f>13*320</f>
        <v>4160</v>
      </c>
      <c r="F15" s="13">
        <f>13*200</f>
        <v>2600</v>
      </c>
      <c r="G15" s="13"/>
      <c r="H15" s="6">
        <f t="shared" si="0"/>
        <v>1560</v>
      </c>
    </row>
    <row r="16" spans="2:41" ht="16.05" customHeight="1" thickBot="1" x14ac:dyDescent="0.35">
      <c r="B16" s="134"/>
      <c r="C16" s="82" t="s">
        <v>37</v>
      </c>
      <c r="D16" s="9" t="s">
        <v>73</v>
      </c>
      <c r="E16" s="12">
        <f>19*290</f>
        <v>5510</v>
      </c>
      <c r="F16" s="13">
        <f>19*200</f>
        <v>3800</v>
      </c>
      <c r="G16" s="13"/>
      <c r="H16" s="6">
        <f t="shared" si="0"/>
        <v>1710</v>
      </c>
    </row>
    <row r="17" spans="2:8" ht="16.05" customHeight="1" thickBot="1" x14ac:dyDescent="0.35">
      <c r="B17" s="134"/>
      <c r="C17" s="82" t="s">
        <v>37</v>
      </c>
      <c r="D17" s="9" t="s">
        <v>30</v>
      </c>
      <c r="E17" s="12">
        <f>21*255</f>
        <v>5355</v>
      </c>
      <c r="F17" s="13">
        <f>(185*21)+(21*10)</f>
        <v>4095</v>
      </c>
      <c r="G17" s="13"/>
      <c r="H17" s="6">
        <f t="shared" si="0"/>
        <v>1260</v>
      </c>
    </row>
    <row r="18" spans="2:8" ht="16.05" customHeight="1" thickBot="1" x14ac:dyDescent="0.35">
      <c r="B18" s="134"/>
      <c r="C18" s="82" t="s">
        <v>37</v>
      </c>
      <c r="D18" s="9" t="s">
        <v>31</v>
      </c>
      <c r="E18" s="12">
        <f>280*6</f>
        <v>1680</v>
      </c>
      <c r="F18" s="13">
        <f>6*200</f>
        <v>1200</v>
      </c>
      <c r="G18" s="13"/>
      <c r="H18" s="6">
        <f t="shared" si="0"/>
        <v>480</v>
      </c>
    </row>
    <row r="19" spans="2:8" ht="16.05" customHeight="1" thickBot="1" x14ac:dyDescent="0.35">
      <c r="B19" s="134"/>
      <c r="C19" s="82" t="s">
        <v>37</v>
      </c>
      <c r="D19" s="9" t="s">
        <v>68</v>
      </c>
      <c r="E19" s="12">
        <f>1500/H2</f>
        <v>447.76119402985074</v>
      </c>
      <c r="F19" s="13"/>
      <c r="G19" s="13"/>
      <c r="H19" s="6">
        <f t="shared" si="0"/>
        <v>447.76119402985074</v>
      </c>
    </row>
    <row r="20" spans="2:8" ht="16.05" customHeight="1" thickBot="1" x14ac:dyDescent="0.35">
      <c r="B20" s="134"/>
      <c r="C20" s="82" t="s">
        <v>37</v>
      </c>
      <c r="D20" s="9" t="s">
        <v>80</v>
      </c>
      <c r="E20" s="12">
        <f>3840</f>
        <v>3840</v>
      </c>
      <c r="F20" s="13">
        <f>12*220</f>
        <v>2640</v>
      </c>
      <c r="G20" s="13"/>
      <c r="H20" s="6">
        <f t="shared" ref="H20" si="1">E20-(F20+G20)</f>
        <v>1200</v>
      </c>
    </row>
    <row r="21" spans="2:8" ht="15.6" x14ac:dyDescent="0.3">
      <c r="G21" s="5" t="s">
        <v>63</v>
      </c>
      <c r="H21" s="6">
        <f>SUM(H12:H20)</f>
        <v>10567.76119402985</v>
      </c>
    </row>
    <row r="22" spans="2:8" ht="15" thickBot="1" x14ac:dyDescent="0.35"/>
    <row r="23" spans="2:8" ht="15.6" x14ac:dyDescent="0.3">
      <c r="G23" s="5" t="s">
        <v>6</v>
      </c>
      <c r="H23" s="6">
        <f>H10+H21</f>
        <v>20185.561791044776</v>
      </c>
    </row>
  </sheetData>
  <mergeCells count="2">
    <mergeCell ref="B12:B20"/>
    <mergeCell ref="B6:B9"/>
  </mergeCells>
  <conditionalFormatting sqref="H23 H12:H20 H5:H9">
    <cfRule type="cellIs" dxfId="27" priority="33" operator="lessThan">
      <formula>0</formula>
    </cfRule>
    <cfRule type="cellIs" dxfId="26" priority="34" operator="greaterThan">
      <formula>0</formula>
    </cfRule>
  </conditionalFormatting>
  <conditionalFormatting sqref="E5:E7 E12">
    <cfRule type="cellIs" dxfId="25" priority="29" operator="lessThan">
      <formula>0</formula>
    </cfRule>
    <cfRule type="cellIs" dxfId="24" priority="30" operator="greaterThanOrEqual">
      <formula>0</formula>
    </cfRule>
  </conditionalFormatting>
  <conditionalFormatting sqref="G5:G7">
    <cfRule type="cellIs" dxfId="23" priority="27" operator="greaterThanOrEqual">
      <formula>0</formula>
    </cfRule>
    <cfRule type="cellIs" dxfId="22" priority="28" operator="lessThanOrEqual">
      <formula>0</formula>
    </cfRule>
  </conditionalFormatting>
  <conditionalFormatting sqref="G12">
    <cfRule type="cellIs" dxfId="21" priority="13" operator="greaterThanOrEqual">
      <formula>0</formula>
    </cfRule>
    <cfRule type="cellIs" dxfId="20" priority="14" operator="lessThanOrEqual">
      <formula>0</formula>
    </cfRule>
  </conditionalFormatting>
  <conditionalFormatting sqref="F5:F7">
    <cfRule type="cellIs" dxfId="19" priority="7" operator="greaterThanOrEqual">
      <formula>0</formula>
    </cfRule>
    <cfRule type="cellIs" dxfId="18" priority="8" operator="lessThanOrEqual">
      <formula>0</formula>
    </cfRule>
  </conditionalFormatting>
  <conditionalFormatting sqref="F12">
    <cfRule type="cellIs" dxfId="17" priority="5" operator="greaterThanOrEqual">
      <formula>0</formula>
    </cfRule>
    <cfRule type="cellIs" dxfId="16" priority="6" operator="lessThanOrEqual">
      <formula>0</formula>
    </cfRule>
  </conditionalFormatting>
  <conditionalFormatting sqref="H10">
    <cfRule type="cellIs" dxfId="15" priority="3" operator="lessThan">
      <formula>0</formula>
    </cfRule>
    <cfRule type="cellIs" dxfId="14" priority="4" operator="greaterThan">
      <formula>0</formula>
    </cfRule>
  </conditionalFormatting>
  <conditionalFormatting sqref="H21">
    <cfRule type="cellIs" dxfId="13" priority="1" operator="lessThan">
      <formula>0</formula>
    </cfRule>
    <cfRule type="cellIs" dxfId="12" priority="2" operator="greaterThan">
      <formula>0</formula>
    </cfRule>
  </conditionalFormatting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26"/>
  <sheetViews>
    <sheetView tabSelected="1" topLeftCell="A2" zoomScale="95" zoomScaleNormal="95" workbookViewId="0">
      <selection activeCell="G5" sqref="G5"/>
    </sheetView>
  </sheetViews>
  <sheetFormatPr baseColWidth="10" defaultRowHeight="14.4" x14ac:dyDescent="0.3"/>
  <cols>
    <col min="2" max="2" width="26.21875" bestFit="1" customWidth="1"/>
    <col min="3" max="3" width="13.77734375" bestFit="1" customWidth="1"/>
    <col min="4" max="4" width="30.88671875" bestFit="1" customWidth="1"/>
    <col min="5" max="5" width="19.6640625" bestFit="1" customWidth="1"/>
    <col min="6" max="6" width="23.33203125" bestFit="1" customWidth="1"/>
    <col min="7" max="7" width="23.5546875" bestFit="1" customWidth="1"/>
    <col min="8" max="8" width="12.88671875" bestFit="1" customWidth="1"/>
    <col min="9" max="9" width="17.109375" customWidth="1"/>
    <col min="10" max="10" width="104.21875" bestFit="1" customWidth="1"/>
    <col min="11" max="38" width="17.109375" customWidth="1"/>
    <col min="39" max="39" width="18.21875" bestFit="1" customWidth="1"/>
    <col min="40" max="40" width="20.5546875" customWidth="1"/>
  </cols>
  <sheetData>
    <row r="2" spans="2:41" x14ac:dyDescent="0.3">
      <c r="G2" s="57" t="s">
        <v>25</v>
      </c>
      <c r="H2" s="57">
        <v>3.31</v>
      </c>
    </row>
    <row r="3" spans="2:41" ht="15" thickBot="1" x14ac:dyDescent="0.35"/>
    <row r="4" spans="2:41" ht="16.2" thickBot="1" x14ac:dyDescent="0.35">
      <c r="C4" s="11" t="s">
        <v>60</v>
      </c>
      <c r="D4" s="11" t="s">
        <v>0</v>
      </c>
      <c r="E4" s="19" t="s">
        <v>3</v>
      </c>
      <c r="F4" s="20" t="s">
        <v>4</v>
      </c>
      <c r="G4" s="21" t="s">
        <v>27</v>
      </c>
      <c r="H4" s="22" t="s">
        <v>5</v>
      </c>
    </row>
    <row r="5" spans="2:41" ht="29.4" thickBot="1" x14ac:dyDescent="0.35">
      <c r="B5" s="18" t="s">
        <v>1</v>
      </c>
      <c r="C5" s="83" t="s">
        <v>36</v>
      </c>
      <c r="D5" s="9" t="s">
        <v>20</v>
      </c>
      <c r="E5" s="6">
        <f>14*240</f>
        <v>3360</v>
      </c>
      <c r="F5" s="6"/>
      <c r="G5" s="6">
        <f>(1557+21.82+13.619+1154.798+871.817+3354+1677)/H2</f>
        <v>2613.3093655589123</v>
      </c>
      <c r="H5" s="6">
        <f>E5-(F5+G5)</f>
        <v>746.6906344410877</v>
      </c>
      <c r="I5" s="1"/>
      <c r="J5" s="74" t="s">
        <v>113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2:41" ht="16.05" customHeight="1" thickBot="1" x14ac:dyDescent="0.35">
      <c r="B6" s="135" t="s">
        <v>2</v>
      </c>
      <c r="C6" s="83" t="s">
        <v>36</v>
      </c>
      <c r="D6" s="16" t="s">
        <v>29</v>
      </c>
      <c r="E6" s="6">
        <f>18*240</f>
        <v>4320</v>
      </c>
      <c r="F6" s="6"/>
      <c r="G6" s="6"/>
      <c r="H6" s="6">
        <f t="shared" ref="H6:H22" si="0">E6-(F6+G6)</f>
        <v>4320</v>
      </c>
    </row>
    <row r="7" spans="2:41" ht="16.05" customHeight="1" thickBot="1" x14ac:dyDescent="0.35">
      <c r="B7" s="134"/>
      <c r="C7" s="83" t="s">
        <v>36</v>
      </c>
      <c r="D7" s="9" t="s">
        <v>26</v>
      </c>
      <c r="E7" s="6">
        <f>180*19</f>
        <v>3420</v>
      </c>
      <c r="F7" s="6">
        <f>140*19</f>
        <v>2660</v>
      </c>
      <c r="G7" s="6"/>
      <c r="H7" s="6">
        <f t="shared" si="0"/>
        <v>760</v>
      </c>
    </row>
    <row r="8" spans="2:41" ht="16.05" customHeight="1" thickBot="1" x14ac:dyDescent="0.35">
      <c r="B8" s="134"/>
      <c r="C8" s="83" t="s">
        <v>36</v>
      </c>
      <c r="D8" s="9" t="s">
        <v>71</v>
      </c>
      <c r="E8" s="6">
        <f>17*280</f>
        <v>4760</v>
      </c>
      <c r="F8" s="6">
        <f>17*200</f>
        <v>3400</v>
      </c>
      <c r="G8" s="6"/>
      <c r="H8" s="6">
        <f>E8-(F8+G8)</f>
        <v>1360</v>
      </c>
    </row>
    <row r="9" spans="2:41" ht="16.05" customHeight="1" thickBot="1" x14ac:dyDescent="0.35">
      <c r="B9" s="134"/>
      <c r="C9" s="83" t="s">
        <v>36</v>
      </c>
      <c r="D9" s="9" t="s">
        <v>23</v>
      </c>
      <c r="E9" s="6">
        <f>8*270</f>
        <v>2160</v>
      </c>
      <c r="F9" s="6">
        <f>225*8</f>
        <v>1800</v>
      </c>
      <c r="G9" s="6"/>
      <c r="H9" s="6">
        <f t="shared" si="0"/>
        <v>360</v>
      </c>
    </row>
    <row r="10" spans="2:41" ht="16.05" customHeight="1" x14ac:dyDescent="0.3">
      <c r="B10" s="90"/>
      <c r="G10" s="5" t="s">
        <v>62</v>
      </c>
      <c r="H10" s="6">
        <f>SUM(H5:H9)</f>
        <v>7546.6906344410872</v>
      </c>
    </row>
    <row r="11" spans="2:41" ht="16.05" customHeight="1" thickBot="1" x14ac:dyDescent="0.35">
      <c r="B11" s="90"/>
    </row>
    <row r="12" spans="2:41" ht="16.05" customHeight="1" thickBot="1" x14ac:dyDescent="0.35">
      <c r="B12" s="134" t="s">
        <v>2</v>
      </c>
      <c r="C12" s="82" t="s">
        <v>37</v>
      </c>
      <c r="D12" s="9" t="s">
        <v>28</v>
      </c>
      <c r="E12" s="6">
        <f>18767.7/3.31</f>
        <v>5670</v>
      </c>
      <c r="F12" s="6">
        <f>(21*170)+(21*20)</f>
        <v>3990</v>
      </c>
      <c r="G12" s="6"/>
      <c r="H12" s="6">
        <f>E12-(F12+G12)</f>
        <v>1680</v>
      </c>
    </row>
    <row r="13" spans="2:41" ht="16.05" customHeight="1" thickBot="1" x14ac:dyDescent="0.35">
      <c r="B13" s="134"/>
      <c r="C13" s="82" t="s">
        <v>37</v>
      </c>
      <c r="D13" s="9" t="s">
        <v>24</v>
      </c>
      <c r="E13" s="6">
        <f>11.5*50</f>
        <v>575</v>
      </c>
      <c r="F13" s="6"/>
      <c r="G13" s="6"/>
      <c r="H13" s="6">
        <f>E13-(F13+G13)</f>
        <v>575</v>
      </c>
    </row>
    <row r="14" spans="2:41" ht="16.05" customHeight="1" thickBot="1" x14ac:dyDescent="0.35">
      <c r="B14" s="134"/>
      <c r="C14" s="82" t="s">
        <v>37</v>
      </c>
      <c r="D14" s="9" t="s">
        <v>69</v>
      </c>
      <c r="E14" s="6">
        <f>13107.6/3.31</f>
        <v>3960</v>
      </c>
      <c r="F14" s="6">
        <f>18*140</f>
        <v>2520</v>
      </c>
      <c r="G14" s="6"/>
      <c r="H14" s="6">
        <f>E14-(F14+G14)</f>
        <v>1440</v>
      </c>
    </row>
    <row r="15" spans="2:41" ht="16.05" customHeight="1" thickBot="1" x14ac:dyDescent="0.35">
      <c r="B15" s="134"/>
      <c r="C15" s="82" t="s">
        <v>37</v>
      </c>
      <c r="D15" s="9" t="s">
        <v>72</v>
      </c>
      <c r="E15" s="6">
        <f>9532.8/3.31</f>
        <v>2879.9999999999995</v>
      </c>
      <c r="F15" s="6">
        <f>9*200</f>
        <v>1800</v>
      </c>
      <c r="G15" s="6"/>
      <c r="H15" s="6">
        <f t="shared" si="0"/>
        <v>1079.9999999999995</v>
      </c>
    </row>
    <row r="16" spans="2:41" ht="16.05" customHeight="1" thickBot="1" x14ac:dyDescent="0.35">
      <c r="B16" s="134"/>
      <c r="C16" s="82" t="s">
        <v>37</v>
      </c>
      <c r="D16" s="9" t="s">
        <v>73</v>
      </c>
      <c r="E16" s="6">
        <f>20157.9/3.31</f>
        <v>6090</v>
      </c>
      <c r="F16" s="6">
        <f>21*200</f>
        <v>4200</v>
      </c>
      <c r="G16" s="6"/>
      <c r="H16" s="6">
        <f t="shared" si="0"/>
        <v>1890</v>
      </c>
    </row>
    <row r="17" spans="2:8" ht="16.05" customHeight="1" thickBot="1" x14ac:dyDescent="0.35">
      <c r="B17" s="134"/>
      <c r="C17" s="82" t="s">
        <v>37</v>
      </c>
      <c r="D17" s="9" t="s">
        <v>30</v>
      </c>
      <c r="E17" s="6">
        <f>12660.75/3.31</f>
        <v>3825</v>
      </c>
      <c r="F17" s="6">
        <f>(185*15)+(15*10)</f>
        <v>2925</v>
      </c>
      <c r="G17" s="6"/>
      <c r="H17" s="6">
        <f t="shared" si="0"/>
        <v>900</v>
      </c>
    </row>
    <row r="18" spans="2:8" ht="16.05" customHeight="1" thickBot="1" x14ac:dyDescent="0.35">
      <c r="B18" s="134"/>
      <c r="C18" s="82" t="s">
        <v>37</v>
      </c>
      <c r="D18" s="9" t="s">
        <v>31</v>
      </c>
      <c r="E18" s="6">
        <f>12975.2/3.31</f>
        <v>3920</v>
      </c>
      <c r="F18" s="6">
        <f>14*200</f>
        <v>2800</v>
      </c>
      <c r="G18" s="6"/>
      <c r="H18" s="6">
        <f t="shared" si="0"/>
        <v>1120</v>
      </c>
    </row>
    <row r="19" spans="2:8" ht="16.05" customHeight="1" thickBot="1" x14ac:dyDescent="0.35">
      <c r="B19" s="134"/>
      <c r="C19" s="82" t="s">
        <v>37</v>
      </c>
      <c r="D19" s="9" t="s">
        <v>68</v>
      </c>
      <c r="E19" s="6">
        <f>1500/3.31</f>
        <v>453.17220543806644</v>
      </c>
      <c r="F19" s="6"/>
      <c r="G19" s="6"/>
      <c r="H19" s="6">
        <f t="shared" si="0"/>
        <v>453.17220543806644</v>
      </c>
    </row>
    <row r="20" spans="2:8" ht="16.05" customHeight="1" thickBot="1" x14ac:dyDescent="0.35">
      <c r="B20" s="134"/>
      <c r="C20" s="82" t="s">
        <v>37</v>
      </c>
      <c r="D20" s="9" t="s">
        <v>78</v>
      </c>
      <c r="E20" s="6">
        <f>15358.4/3.31</f>
        <v>4640</v>
      </c>
      <c r="F20" s="6">
        <f>16*160</f>
        <v>2560</v>
      </c>
      <c r="G20" s="6"/>
      <c r="H20" s="6">
        <f t="shared" si="0"/>
        <v>2080</v>
      </c>
    </row>
    <row r="21" spans="2:8" ht="16.05" customHeight="1" thickBot="1" x14ac:dyDescent="0.35">
      <c r="B21" s="134"/>
      <c r="C21" s="82" t="s">
        <v>37</v>
      </c>
      <c r="D21" s="9" t="s">
        <v>79</v>
      </c>
      <c r="E21" s="6">
        <f>12048.4/3.31</f>
        <v>3640</v>
      </c>
      <c r="F21" s="6">
        <f>14*200</f>
        <v>2800</v>
      </c>
      <c r="G21" s="6"/>
      <c r="H21" s="6">
        <f t="shared" si="0"/>
        <v>840</v>
      </c>
    </row>
    <row r="22" spans="2:8" ht="16.05" customHeight="1" thickBot="1" x14ac:dyDescent="0.35">
      <c r="B22" s="134"/>
      <c r="C22" s="82" t="s">
        <v>37</v>
      </c>
      <c r="D22" s="9" t="s">
        <v>80</v>
      </c>
      <c r="E22" s="6">
        <f>9532.8/3.31</f>
        <v>2879.9999999999995</v>
      </c>
      <c r="F22" s="6">
        <f>9*220</f>
        <v>1980</v>
      </c>
      <c r="G22" s="6"/>
      <c r="H22" s="6">
        <f t="shared" si="0"/>
        <v>899.99999999999955</v>
      </c>
    </row>
    <row r="23" spans="2:8" ht="15.6" x14ac:dyDescent="0.3">
      <c r="G23" s="5" t="s">
        <v>63</v>
      </c>
      <c r="H23" s="6">
        <f>SUM(H12:H22)</f>
        <v>12958.172205438066</v>
      </c>
    </row>
    <row r="25" spans="2:8" ht="15" thickBot="1" x14ac:dyDescent="0.35"/>
    <row r="26" spans="2:8" ht="15.6" x14ac:dyDescent="0.3">
      <c r="G26" s="5" t="s">
        <v>6</v>
      </c>
      <c r="H26" s="6">
        <f>H10+H23</f>
        <v>20504.862839879155</v>
      </c>
    </row>
  </sheetData>
  <mergeCells count="2">
    <mergeCell ref="B6:B9"/>
    <mergeCell ref="B12:B22"/>
  </mergeCells>
  <conditionalFormatting sqref="H26 H5:H9 H12:H21">
    <cfRule type="cellIs" dxfId="11" priority="35" operator="lessThan">
      <formula>0</formula>
    </cfRule>
    <cfRule type="cellIs" dxfId="10" priority="36" operator="greaterThan">
      <formula>0</formula>
    </cfRule>
  </conditionalFormatting>
  <conditionalFormatting sqref="E5:E9 E12:E22">
    <cfRule type="cellIs" dxfId="9" priority="31" operator="lessThan">
      <formula>0</formula>
    </cfRule>
    <cfRule type="cellIs" dxfId="8" priority="32" operator="greaterThanOrEqual">
      <formula>0</formula>
    </cfRule>
  </conditionalFormatting>
  <conditionalFormatting sqref="G15:G22 F5:G9 F12:G14">
    <cfRule type="cellIs" dxfId="7" priority="29" operator="greaterThanOrEqual">
      <formula>0</formula>
    </cfRule>
    <cfRule type="cellIs" dxfId="6" priority="30" operator="lessThanOrEqual">
      <formula>0</formula>
    </cfRule>
  </conditionalFormatting>
  <conditionalFormatting sqref="F15:F22">
    <cfRule type="cellIs" dxfId="5" priority="5" operator="greaterThanOrEqual">
      <formula>0</formula>
    </cfRule>
    <cfRule type="cellIs" dxfId="4" priority="6" operator="lessThanOrEqual">
      <formula>0</formula>
    </cfRule>
  </conditionalFormatting>
  <conditionalFormatting sqref="H10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H22:H23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34"/>
  <sheetViews>
    <sheetView topLeftCell="A5" zoomScale="95" zoomScaleNormal="95" workbookViewId="0">
      <selection activeCell="N7" sqref="N7"/>
    </sheetView>
  </sheetViews>
  <sheetFormatPr baseColWidth="10" defaultRowHeight="14.4" x14ac:dyDescent="0.3"/>
  <cols>
    <col min="2" max="2" width="30.5546875" bestFit="1" customWidth="1"/>
    <col min="3" max="14" width="13" customWidth="1"/>
    <col min="15" max="15" width="3.77734375" customWidth="1"/>
    <col min="16" max="16" width="14.109375" bestFit="1" customWidth="1"/>
  </cols>
  <sheetData>
    <row r="3" spans="2:16" x14ac:dyDescent="0.3">
      <c r="B3" s="36"/>
    </row>
    <row r="5" spans="2:16" x14ac:dyDescent="0.3">
      <c r="B5" s="26" t="s">
        <v>42</v>
      </c>
      <c r="C5" s="27" t="s">
        <v>7</v>
      </c>
      <c r="D5" s="27" t="s">
        <v>8</v>
      </c>
      <c r="E5" s="27" t="s">
        <v>9</v>
      </c>
      <c r="F5" s="27" t="s">
        <v>10</v>
      </c>
      <c r="G5" s="27" t="s">
        <v>11</v>
      </c>
      <c r="H5" s="27" t="s">
        <v>12</v>
      </c>
      <c r="I5" s="27" t="s">
        <v>13</v>
      </c>
      <c r="J5" s="27" t="s">
        <v>38</v>
      </c>
      <c r="K5" s="27" t="s">
        <v>15</v>
      </c>
      <c r="L5" s="27" t="s">
        <v>16</v>
      </c>
      <c r="M5" s="27" t="s">
        <v>39</v>
      </c>
      <c r="N5" s="27" t="s">
        <v>18</v>
      </c>
      <c r="P5" s="27" t="s">
        <v>46</v>
      </c>
    </row>
    <row r="6" spans="2:16" x14ac:dyDescent="0.3">
      <c r="B6" s="34" t="s">
        <v>58</v>
      </c>
      <c r="C6" s="38"/>
      <c r="D6" s="38"/>
      <c r="E6" s="38"/>
      <c r="F6" s="38"/>
      <c r="G6" s="38"/>
      <c r="H6" s="38"/>
      <c r="I6" s="38"/>
      <c r="J6" s="38"/>
      <c r="K6" s="38">
        <v>15000</v>
      </c>
      <c r="L6" s="38">
        <v>3000</v>
      </c>
      <c r="M6" s="38">
        <v>25000</v>
      </c>
      <c r="N6" s="38">
        <v>40000</v>
      </c>
      <c r="O6" s="39"/>
      <c r="P6" s="37">
        <f>SUM(C6:N6)</f>
        <v>83000</v>
      </c>
    </row>
    <row r="7" spans="2:16" x14ac:dyDescent="0.3">
      <c r="B7" s="34" t="s">
        <v>61</v>
      </c>
      <c r="C7" s="38"/>
      <c r="D7" s="38">
        <v>10500</v>
      </c>
      <c r="E7" s="38">
        <v>10500</v>
      </c>
      <c r="F7" s="38">
        <v>10500</v>
      </c>
      <c r="G7" s="38">
        <v>9000</v>
      </c>
      <c r="H7" s="38">
        <v>9000</v>
      </c>
      <c r="I7" s="38">
        <v>9000</v>
      </c>
      <c r="J7" s="38">
        <v>9000</v>
      </c>
      <c r="K7" s="38"/>
      <c r="L7" s="38"/>
      <c r="M7" s="38"/>
      <c r="N7" s="38"/>
      <c r="O7" s="39"/>
      <c r="P7" s="37">
        <f>SUM(C7:N7)</f>
        <v>67500</v>
      </c>
    </row>
    <row r="8" spans="2:16" x14ac:dyDescent="0.3">
      <c r="B8" s="28" t="s">
        <v>41</v>
      </c>
      <c r="C8" s="37">
        <v>1287</v>
      </c>
      <c r="D8" s="37">
        <v>1287</v>
      </c>
      <c r="E8" s="37">
        <v>1287</v>
      </c>
      <c r="F8" s="37">
        <v>1325</v>
      </c>
      <c r="G8" s="37">
        <v>1325</v>
      </c>
      <c r="H8" s="37">
        <v>1325</v>
      </c>
      <c r="I8" s="37">
        <v>1310</v>
      </c>
      <c r="J8" s="37">
        <v>1310</v>
      </c>
      <c r="K8" s="37">
        <v>1310</v>
      </c>
      <c r="L8" s="37">
        <v>1557</v>
      </c>
      <c r="M8" s="37">
        <v>1557</v>
      </c>
      <c r="N8" s="37">
        <v>1557</v>
      </c>
      <c r="O8" s="39"/>
      <c r="P8" s="37">
        <f t="shared" ref="P8:P22" si="0">SUM(C8:N8)</f>
        <v>16437</v>
      </c>
    </row>
    <row r="9" spans="2:16" x14ac:dyDescent="0.3">
      <c r="B9" s="28" t="s">
        <v>40</v>
      </c>
      <c r="C9" s="37">
        <v>1244</v>
      </c>
      <c r="D9" s="37">
        <v>1169</v>
      </c>
      <c r="E9" s="37">
        <f>1602+591</f>
        <v>2193</v>
      </c>
      <c r="F9" s="37">
        <v>1277</v>
      </c>
      <c r="G9" s="37">
        <v>2086</v>
      </c>
      <c r="H9" s="37">
        <v>1292</v>
      </c>
      <c r="I9" s="37">
        <v>1285</v>
      </c>
      <c r="J9" s="37">
        <v>1702</v>
      </c>
      <c r="K9" s="37">
        <v>1735.068</v>
      </c>
      <c r="L9" s="37">
        <v>1332</v>
      </c>
      <c r="M9" s="37">
        <v>2952.518</v>
      </c>
      <c r="N9" s="37">
        <v>2549.9209999999998</v>
      </c>
      <c r="O9" s="39"/>
      <c r="P9" s="37">
        <f t="shared" si="0"/>
        <v>20817.506999999998</v>
      </c>
    </row>
    <row r="10" spans="2:16" x14ac:dyDescent="0.3">
      <c r="B10" s="28" t="s">
        <v>75</v>
      </c>
      <c r="C10" s="37"/>
      <c r="D10" s="37"/>
      <c r="E10" s="37"/>
      <c r="F10" s="37"/>
      <c r="G10" s="37"/>
      <c r="H10" s="37"/>
      <c r="I10" s="37"/>
      <c r="J10" s="37"/>
      <c r="K10" s="37"/>
      <c r="L10" s="37">
        <v>1000</v>
      </c>
      <c r="M10" s="37"/>
      <c r="N10" s="37"/>
      <c r="O10" s="39"/>
      <c r="P10" s="37"/>
    </row>
    <row r="11" spans="2:16" x14ac:dyDescent="0.3">
      <c r="B11" s="28" t="s">
        <v>77</v>
      </c>
      <c r="C11" s="37"/>
      <c r="D11" s="37"/>
      <c r="E11" s="37"/>
      <c r="F11" s="37"/>
      <c r="G11" s="37"/>
      <c r="H11" s="37"/>
      <c r="I11" s="37">
        <v>9967.7880000000005</v>
      </c>
      <c r="J11" s="37"/>
      <c r="K11" s="37"/>
      <c r="L11" s="37"/>
      <c r="M11" s="37"/>
      <c r="N11" s="37">
        <v>10252.255999999999</v>
      </c>
      <c r="O11" s="39"/>
      <c r="P11" s="37">
        <f t="shared" si="0"/>
        <v>20220.044000000002</v>
      </c>
    </row>
    <row r="12" spans="2:16" x14ac:dyDescent="0.3">
      <c r="B12" s="28" t="s">
        <v>47</v>
      </c>
      <c r="C12" s="37"/>
      <c r="D12" s="37">
        <f>155+43</f>
        <v>198</v>
      </c>
      <c r="E12" s="37"/>
      <c r="F12" s="37">
        <v>28.189</v>
      </c>
      <c r="G12" s="37"/>
      <c r="H12" s="37">
        <f>100+43</f>
        <v>143</v>
      </c>
      <c r="I12" s="37">
        <f>23.5+69.6+11.651+55.5+100.5</f>
        <v>260.75099999999998</v>
      </c>
      <c r="J12" s="37">
        <v>78.5</v>
      </c>
      <c r="K12" s="37"/>
      <c r="L12" s="37">
        <f>92.4+74</f>
        <v>166.4</v>
      </c>
      <c r="M12" s="37"/>
      <c r="N12" s="37"/>
      <c r="O12" s="39"/>
      <c r="P12" s="37">
        <f t="shared" si="0"/>
        <v>874.83999999999992</v>
      </c>
    </row>
    <row r="13" spans="2:16" x14ac:dyDescent="0.3">
      <c r="B13" s="28" t="s">
        <v>48</v>
      </c>
      <c r="C13" s="37"/>
      <c r="D13" s="37"/>
      <c r="E13" s="37">
        <v>3169.2240000000002</v>
      </c>
      <c r="F13" s="37"/>
      <c r="G13" s="37"/>
      <c r="H13" s="37"/>
      <c r="I13" s="37"/>
      <c r="J13" s="37"/>
      <c r="K13" s="37"/>
      <c r="L13" s="37"/>
      <c r="M13" s="37"/>
      <c r="N13" s="37"/>
      <c r="O13" s="39"/>
      <c r="P13" s="37">
        <f t="shared" si="0"/>
        <v>3169.2240000000002</v>
      </c>
    </row>
    <row r="14" spans="2:16" x14ac:dyDescent="0.3">
      <c r="B14" s="28" t="s">
        <v>50</v>
      </c>
      <c r="C14" s="37"/>
      <c r="D14" s="37"/>
      <c r="E14" s="37"/>
      <c r="F14" s="37"/>
      <c r="G14" s="37">
        <v>1550</v>
      </c>
      <c r="H14" s="37"/>
      <c r="I14" s="37"/>
      <c r="J14" s="37"/>
      <c r="K14" s="37"/>
      <c r="L14" s="37"/>
      <c r="M14" s="37"/>
      <c r="N14" s="37"/>
      <c r="O14" s="39"/>
      <c r="P14" s="37">
        <f t="shared" si="0"/>
        <v>1550</v>
      </c>
    </row>
    <row r="15" spans="2:16" x14ac:dyDescent="0.3">
      <c r="B15" s="28" t="s">
        <v>49</v>
      </c>
      <c r="C15" s="37"/>
      <c r="D15" s="37"/>
      <c r="E15" s="37"/>
      <c r="F15" s="37">
        <v>95.292000000000002</v>
      </c>
      <c r="G15" s="37"/>
      <c r="H15" s="37"/>
      <c r="I15" s="37"/>
      <c r="J15" s="37"/>
      <c r="K15" s="37"/>
      <c r="L15" s="37">
        <v>26.050999999999998</v>
      </c>
      <c r="M15" s="37"/>
      <c r="N15" s="37"/>
      <c r="O15" s="39"/>
      <c r="P15" s="37">
        <f t="shared" si="0"/>
        <v>121.343</v>
      </c>
    </row>
    <row r="16" spans="2:16" x14ac:dyDescent="0.3">
      <c r="B16" s="28" t="s">
        <v>43</v>
      </c>
      <c r="C16" s="37"/>
      <c r="D16" s="37"/>
      <c r="E16" s="37"/>
      <c r="F16" s="37">
        <v>48.3</v>
      </c>
      <c r="G16" s="37"/>
      <c r="H16" s="37"/>
      <c r="I16" s="37"/>
      <c r="J16" s="37">
        <v>39.299999999999997</v>
      </c>
      <c r="K16" s="37"/>
      <c r="L16" s="37">
        <v>35.6</v>
      </c>
      <c r="M16" s="37"/>
      <c r="N16" s="37"/>
      <c r="O16" s="39"/>
      <c r="P16" s="37">
        <f t="shared" si="0"/>
        <v>123.19999999999999</v>
      </c>
    </row>
    <row r="17" spans="2:16" x14ac:dyDescent="0.3">
      <c r="B17" s="28" t="s">
        <v>44</v>
      </c>
      <c r="C17" s="37"/>
      <c r="D17" s="37"/>
      <c r="E17" s="37"/>
      <c r="F17" s="37">
        <v>564</v>
      </c>
      <c r="G17" s="37">
        <v>416</v>
      </c>
      <c r="H17" s="37">
        <v>416</v>
      </c>
      <c r="I17" s="37">
        <v>416</v>
      </c>
      <c r="J17" s="37">
        <v>416</v>
      </c>
      <c r="K17" s="37">
        <v>416</v>
      </c>
      <c r="L17" s="37">
        <v>416</v>
      </c>
      <c r="M17" s="37">
        <v>416</v>
      </c>
      <c r="N17" s="37">
        <v>416</v>
      </c>
      <c r="O17" s="39"/>
      <c r="P17" s="37">
        <f t="shared" si="0"/>
        <v>3892</v>
      </c>
    </row>
    <row r="18" spans="2:16" x14ac:dyDescent="0.3">
      <c r="B18" s="28" t="s">
        <v>45</v>
      </c>
      <c r="C18" s="37"/>
      <c r="D18" s="37"/>
      <c r="E18" s="37"/>
      <c r="F18" s="37">
        <v>194</v>
      </c>
      <c r="G18" s="37"/>
      <c r="H18" s="37"/>
      <c r="I18" s="37">
        <v>97</v>
      </c>
      <c r="J18" s="37"/>
      <c r="K18" s="37"/>
      <c r="L18" s="37">
        <v>1959</v>
      </c>
      <c r="M18" s="37"/>
      <c r="N18" s="37"/>
      <c r="O18" s="39"/>
      <c r="P18" s="37">
        <f t="shared" si="0"/>
        <v>2250</v>
      </c>
    </row>
    <row r="19" spans="2:16" x14ac:dyDescent="0.3">
      <c r="B19" s="28" t="s">
        <v>51</v>
      </c>
      <c r="C19" s="37"/>
      <c r="D19" s="37"/>
      <c r="E19" s="37"/>
      <c r="F19" s="37"/>
      <c r="G19" s="37"/>
      <c r="H19" s="37"/>
      <c r="I19" s="37">
        <v>117</v>
      </c>
      <c r="J19" s="37"/>
      <c r="K19" s="37"/>
      <c r="L19" s="37"/>
      <c r="M19" s="37"/>
      <c r="N19" s="37">
        <v>57.68</v>
      </c>
      <c r="O19" s="39"/>
      <c r="P19" s="37">
        <f t="shared" si="0"/>
        <v>174.68</v>
      </c>
    </row>
    <row r="20" spans="2:16" x14ac:dyDescent="0.3">
      <c r="B20" s="28" t="s">
        <v>81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>
        <v>167.143</v>
      </c>
      <c r="O20" s="39"/>
      <c r="P20" s="37">
        <f t="shared" si="0"/>
        <v>167.143</v>
      </c>
    </row>
    <row r="21" spans="2:16" x14ac:dyDescent="0.3">
      <c r="B21" s="28" t="s">
        <v>52</v>
      </c>
      <c r="C21" s="37"/>
      <c r="D21" s="37"/>
      <c r="E21" s="37"/>
      <c r="F21" s="37"/>
      <c r="G21" s="37"/>
      <c r="H21" s="37"/>
      <c r="I21" s="37">
        <v>19.076000000000001</v>
      </c>
      <c r="J21" s="37"/>
      <c r="K21" s="37"/>
      <c r="L21" s="37"/>
      <c r="M21" s="37"/>
      <c r="N21" s="37"/>
      <c r="O21" s="39"/>
      <c r="P21" s="37">
        <f t="shared" si="0"/>
        <v>19.076000000000001</v>
      </c>
    </row>
    <row r="22" spans="2:16" x14ac:dyDescent="0.3">
      <c r="B22" s="28" t="s">
        <v>114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>
        <v>2000</v>
      </c>
      <c r="O22" s="39"/>
      <c r="P22" s="37">
        <f t="shared" si="0"/>
        <v>2000</v>
      </c>
    </row>
    <row r="23" spans="2:16" x14ac:dyDescent="0.3">
      <c r="B23" s="42" t="s">
        <v>56</v>
      </c>
      <c r="C23" s="43">
        <f t="shared" ref="C23:M23" si="1">SUM(C6:C21)</f>
        <v>2531</v>
      </c>
      <c r="D23" s="43">
        <f t="shared" si="1"/>
        <v>13154</v>
      </c>
      <c r="E23" s="43">
        <f t="shared" si="1"/>
        <v>17149.224000000002</v>
      </c>
      <c r="F23" s="43">
        <f t="shared" si="1"/>
        <v>14031.780999999999</v>
      </c>
      <c r="G23" s="43">
        <f t="shared" si="1"/>
        <v>14377</v>
      </c>
      <c r="H23" s="43">
        <f t="shared" si="1"/>
        <v>12176</v>
      </c>
      <c r="I23" s="43">
        <f t="shared" si="1"/>
        <v>22472.615000000002</v>
      </c>
      <c r="J23" s="43">
        <f t="shared" si="1"/>
        <v>12545.8</v>
      </c>
      <c r="K23" s="43">
        <f t="shared" si="1"/>
        <v>18461.067999999999</v>
      </c>
      <c r="L23" s="43">
        <f t="shared" si="1"/>
        <v>9492.0509999999995</v>
      </c>
      <c r="M23" s="43">
        <f t="shared" si="1"/>
        <v>29925.518</v>
      </c>
      <c r="N23" s="43">
        <f>SUM(N6:N22)</f>
        <v>57000</v>
      </c>
      <c r="O23" s="39"/>
      <c r="P23" s="43">
        <f>SUM(C23:N23)</f>
        <v>223316.05700000003</v>
      </c>
    </row>
    <row r="24" spans="2:16" x14ac:dyDescent="0.3"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</row>
    <row r="25" spans="2:16" x14ac:dyDescent="0.3"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</row>
    <row r="26" spans="2:16" x14ac:dyDescent="0.3">
      <c r="B26" s="29" t="s">
        <v>53</v>
      </c>
      <c r="C26" s="40" t="s">
        <v>7</v>
      </c>
      <c r="D26" s="40" t="s">
        <v>8</v>
      </c>
      <c r="E26" s="40" t="s">
        <v>9</v>
      </c>
      <c r="F26" s="40" t="s">
        <v>10</v>
      </c>
      <c r="G26" s="40" t="s">
        <v>11</v>
      </c>
      <c r="H26" s="40" t="s">
        <v>12</v>
      </c>
      <c r="I26" s="40" t="s">
        <v>13</v>
      </c>
      <c r="J26" s="40" t="s">
        <v>38</v>
      </c>
      <c r="K26" s="40" t="s">
        <v>15</v>
      </c>
      <c r="L26" s="40" t="s">
        <v>16</v>
      </c>
      <c r="M26" s="40" t="s">
        <v>39</v>
      </c>
      <c r="N26" s="40" t="s">
        <v>18</v>
      </c>
      <c r="O26" s="39"/>
      <c r="P26" s="40" t="s">
        <v>46</v>
      </c>
    </row>
    <row r="27" spans="2:16" x14ac:dyDescent="0.3">
      <c r="B27" s="28" t="s">
        <v>41</v>
      </c>
      <c r="C27" s="37"/>
      <c r="D27" s="37"/>
      <c r="E27" s="37">
        <v>5</v>
      </c>
      <c r="F27" s="37">
        <v>1539</v>
      </c>
      <c r="G27" s="37">
        <v>1539</v>
      </c>
      <c r="H27" s="37">
        <v>1539</v>
      </c>
      <c r="I27" s="37">
        <v>724</v>
      </c>
      <c r="J27" s="37">
        <v>724</v>
      </c>
      <c r="K27" s="37">
        <v>724</v>
      </c>
      <c r="L27" s="37"/>
      <c r="M27" s="37"/>
      <c r="N27" s="37"/>
      <c r="O27" s="39"/>
      <c r="P27" s="37">
        <f t="shared" ref="P27:P31" si="2">SUM(C27:N27)</f>
        <v>6794</v>
      </c>
    </row>
    <row r="28" spans="2:16" x14ac:dyDescent="0.3">
      <c r="B28" s="28" t="s">
        <v>40</v>
      </c>
      <c r="C28" s="37"/>
      <c r="D28" s="37">
        <v>2061.6350000000002</v>
      </c>
      <c r="E28" s="37">
        <v>2073.569</v>
      </c>
      <c r="F28" s="37">
        <v>3866.3270000000002</v>
      </c>
      <c r="G28" s="37">
        <v>2143.8510000000001</v>
      </c>
      <c r="H28" s="37">
        <v>2066.1779999999999</v>
      </c>
      <c r="I28" s="37">
        <v>2462.1039999999998</v>
      </c>
      <c r="J28" s="37">
        <v>1323.287</v>
      </c>
      <c r="K28" s="37">
        <v>1844.0930000000001</v>
      </c>
      <c r="L28" s="37">
        <v>1499.5540000000001</v>
      </c>
      <c r="M28" s="37">
        <v>531.404</v>
      </c>
      <c r="N28" s="37">
        <v>5488.5029999999997</v>
      </c>
      <c r="O28" s="39"/>
      <c r="P28" s="37">
        <f t="shared" si="2"/>
        <v>25360.504999999997</v>
      </c>
    </row>
    <row r="29" spans="2:16" x14ac:dyDescent="0.3">
      <c r="B29" s="28" t="s">
        <v>75</v>
      </c>
      <c r="C29" s="37"/>
      <c r="D29" s="37"/>
      <c r="E29" s="37"/>
      <c r="F29" s="37"/>
      <c r="G29" s="37"/>
      <c r="H29" s="37"/>
      <c r="I29" s="37"/>
      <c r="J29" s="37"/>
      <c r="K29" s="37"/>
      <c r="L29" s="37">
        <v>1000</v>
      </c>
      <c r="M29" s="37"/>
      <c r="N29" s="37"/>
      <c r="O29" s="39"/>
      <c r="P29" s="37">
        <f t="shared" si="2"/>
        <v>1000</v>
      </c>
    </row>
    <row r="30" spans="2:16" x14ac:dyDescent="0.3">
      <c r="B30" s="28" t="s">
        <v>54</v>
      </c>
      <c r="C30" s="37"/>
      <c r="D30" s="37"/>
      <c r="E30" s="37"/>
      <c r="F30" s="37">
        <v>172</v>
      </c>
      <c r="G30" s="37">
        <v>157.5</v>
      </c>
      <c r="H30" s="37"/>
      <c r="I30" s="37">
        <v>157.5</v>
      </c>
      <c r="J30" s="37">
        <v>157.5</v>
      </c>
      <c r="K30" s="37"/>
      <c r="L30" s="37"/>
      <c r="M30" s="37"/>
      <c r="N30" s="37"/>
      <c r="O30" s="39"/>
      <c r="P30" s="37">
        <f t="shared" si="2"/>
        <v>644.5</v>
      </c>
    </row>
    <row r="31" spans="2:16" x14ac:dyDescent="0.3">
      <c r="B31" s="28" t="s">
        <v>55</v>
      </c>
      <c r="C31" s="37"/>
      <c r="D31" s="37"/>
      <c r="E31" s="37">
        <v>495</v>
      </c>
      <c r="F31" s="37">
        <v>700</v>
      </c>
      <c r="G31" s="37">
        <v>700</v>
      </c>
      <c r="H31" s="37">
        <v>800</v>
      </c>
      <c r="I31" s="37">
        <v>700</v>
      </c>
      <c r="J31" s="37">
        <v>700</v>
      </c>
      <c r="K31" s="37">
        <v>700</v>
      </c>
      <c r="L31" s="37">
        <v>700</v>
      </c>
      <c r="M31" s="37">
        <v>700</v>
      </c>
      <c r="N31" s="37">
        <v>1400</v>
      </c>
      <c r="O31" s="39"/>
      <c r="P31" s="37">
        <f t="shared" si="2"/>
        <v>7595</v>
      </c>
    </row>
    <row r="32" spans="2:16" x14ac:dyDescent="0.3">
      <c r="B32" s="29" t="s">
        <v>57</v>
      </c>
      <c r="C32" s="44">
        <f t="shared" ref="C32:N32" si="3">SUM(C27:C31)</f>
        <v>0</v>
      </c>
      <c r="D32" s="44">
        <f t="shared" si="3"/>
        <v>2061.6350000000002</v>
      </c>
      <c r="E32" s="44">
        <f t="shared" si="3"/>
        <v>2573.569</v>
      </c>
      <c r="F32" s="44">
        <f t="shared" si="3"/>
        <v>6277.3270000000002</v>
      </c>
      <c r="G32" s="44">
        <f t="shared" si="3"/>
        <v>4540.3510000000006</v>
      </c>
      <c r="H32" s="44">
        <f t="shared" si="3"/>
        <v>4405.1779999999999</v>
      </c>
      <c r="I32" s="44">
        <f t="shared" si="3"/>
        <v>4043.6039999999998</v>
      </c>
      <c r="J32" s="44">
        <f t="shared" si="3"/>
        <v>2904.7870000000003</v>
      </c>
      <c r="K32" s="44">
        <f t="shared" si="3"/>
        <v>3268.0929999999998</v>
      </c>
      <c r="L32" s="44">
        <f t="shared" si="3"/>
        <v>3199.5540000000001</v>
      </c>
      <c r="M32" s="44">
        <f t="shared" si="3"/>
        <v>1231.404</v>
      </c>
      <c r="N32" s="44">
        <f t="shared" si="3"/>
        <v>6888.5029999999997</v>
      </c>
      <c r="O32" s="39"/>
      <c r="P32" s="44">
        <f>SUM(C32:N32)</f>
        <v>41394.004999999997</v>
      </c>
    </row>
    <row r="33" spans="2:15" x14ac:dyDescent="0.3"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</row>
    <row r="34" spans="2:15" x14ac:dyDescent="0.3">
      <c r="B34" s="35" t="s">
        <v>59</v>
      </c>
      <c r="C34" s="41">
        <f t="shared" ref="C34:M34" si="4">C23+C32</f>
        <v>2531</v>
      </c>
      <c r="D34" s="41">
        <f t="shared" si="4"/>
        <v>15215.635</v>
      </c>
      <c r="E34" s="41">
        <f t="shared" si="4"/>
        <v>19722.793000000001</v>
      </c>
      <c r="F34" s="41">
        <f t="shared" si="4"/>
        <v>20309.108</v>
      </c>
      <c r="G34" s="41">
        <f t="shared" si="4"/>
        <v>18917.351000000002</v>
      </c>
      <c r="H34" s="41">
        <f t="shared" si="4"/>
        <v>16581.178</v>
      </c>
      <c r="I34" s="41">
        <f t="shared" si="4"/>
        <v>26516.219000000001</v>
      </c>
      <c r="J34" s="41">
        <f t="shared" si="4"/>
        <v>15450.587</v>
      </c>
      <c r="K34" s="41">
        <f t="shared" si="4"/>
        <v>21729.161</v>
      </c>
      <c r="L34" s="41">
        <f t="shared" si="4"/>
        <v>12691.605</v>
      </c>
      <c r="M34" s="41">
        <f t="shared" si="4"/>
        <v>31156.921999999999</v>
      </c>
      <c r="N34" s="41">
        <f>N23+N32</f>
        <v>63888.502999999997</v>
      </c>
      <c r="O34" s="39"/>
    </row>
  </sheetData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7"/>
  <sheetViews>
    <sheetView topLeftCell="B1" zoomScaleNormal="100" workbookViewId="0">
      <selection activeCell="B17" sqref="B17"/>
    </sheetView>
  </sheetViews>
  <sheetFormatPr baseColWidth="10" defaultRowHeight="14.4" x14ac:dyDescent="0.3"/>
  <cols>
    <col min="1" max="1" width="3.77734375" customWidth="1"/>
    <col min="2" max="2" width="51.6640625" bestFit="1" customWidth="1"/>
    <col min="3" max="11" width="12.44140625" bestFit="1" customWidth="1"/>
    <col min="12" max="12" width="14.88671875" bestFit="1" customWidth="1"/>
    <col min="13" max="14" width="12.44140625" bestFit="1" customWidth="1"/>
    <col min="15" max="15" width="13.44140625" bestFit="1" customWidth="1"/>
  </cols>
  <sheetData>
    <row r="2" spans="2:15" ht="15.6" x14ac:dyDescent="0.3">
      <c r="B2" s="75" t="s">
        <v>115</v>
      </c>
    </row>
    <row r="3" spans="2:15" ht="15.6" x14ac:dyDescent="0.3">
      <c r="B3" s="75" t="s">
        <v>116</v>
      </c>
    </row>
    <row r="6" spans="2:15" ht="15" thickBot="1" x14ac:dyDescent="0.35">
      <c r="C6" s="8" t="s">
        <v>7</v>
      </c>
      <c r="D6" s="8" t="s">
        <v>8</v>
      </c>
      <c r="E6" s="8" t="s">
        <v>9</v>
      </c>
      <c r="F6" s="8" t="s">
        <v>10</v>
      </c>
      <c r="G6" s="8" t="s">
        <v>11</v>
      </c>
      <c r="H6" s="8" t="s">
        <v>12</v>
      </c>
      <c r="I6" s="8" t="s">
        <v>13</v>
      </c>
      <c r="J6" s="8" t="s">
        <v>14</v>
      </c>
      <c r="K6" s="8" t="s">
        <v>15</v>
      </c>
      <c r="L6" s="8" t="s">
        <v>16</v>
      </c>
      <c r="M6" s="8" t="s">
        <v>17</v>
      </c>
      <c r="N6" s="8" t="s">
        <v>18</v>
      </c>
      <c r="O6" s="8" t="s">
        <v>19</v>
      </c>
    </row>
    <row r="7" spans="2:15" ht="16.2" thickBot="1" x14ac:dyDescent="0.35">
      <c r="B7" s="83" t="s">
        <v>62</v>
      </c>
      <c r="C7" s="6">
        <f>Janvier!$H$14</f>
        <v>26308.397611940298</v>
      </c>
      <c r="D7" s="6">
        <f>Février!$H$12</f>
        <v>25638.397611940298</v>
      </c>
      <c r="E7" s="6">
        <f>Mars!$H$12</f>
        <v>24103.397611940298</v>
      </c>
      <c r="F7" s="6">
        <f>Avril!$H$12</f>
        <v>23862.054328358208</v>
      </c>
      <c r="G7" s="6">
        <f>Mai!$H$12</f>
        <v>24402.054328358208</v>
      </c>
      <c r="H7" s="6">
        <f>Juin!$H$12</f>
        <v>24029.554328358208</v>
      </c>
      <c r="I7" s="6">
        <f>Juillet!$H$13</f>
        <v>23791.531940298508</v>
      </c>
      <c r="J7" s="6">
        <f>Aout!$H$12</f>
        <v>18736.531940298508</v>
      </c>
      <c r="K7" s="6">
        <f>Septembre!$H$12</f>
        <v>16171.531940298508</v>
      </c>
      <c r="L7" s="6">
        <f>Ocotbre!$H$10</f>
        <v>10267.800597014924</v>
      </c>
      <c r="M7" s="6">
        <f>Novembre!$H$10</f>
        <v>9617.8005970149243</v>
      </c>
      <c r="N7" s="6">
        <f>Décembre!$H$10</f>
        <v>7546.6906344410872</v>
      </c>
      <c r="O7" s="81">
        <f>SUM(C7:N7)</f>
        <v>234475.74347026198</v>
      </c>
    </row>
    <row r="8" spans="2:15" ht="15.6" x14ac:dyDescent="0.3">
      <c r="B8" s="83" t="s">
        <v>66</v>
      </c>
      <c r="C8" s="6">
        <f t="shared" ref="C8:N8" si="0">C7-C25</f>
        <v>25552.875223880597</v>
      </c>
      <c r="D8" s="6">
        <f t="shared" si="0"/>
        <v>21711.830447761193</v>
      </c>
      <c r="E8" s="6">
        <f t="shared" si="0"/>
        <v>18984.226268656716</v>
      </c>
      <c r="F8" s="6">
        <f t="shared" si="0"/>
        <v>19673.462985074628</v>
      </c>
      <c r="G8" s="6">
        <f t="shared" si="0"/>
        <v>20110.41253731343</v>
      </c>
      <c r="H8" s="6">
        <f t="shared" si="0"/>
        <v>20394.927462686566</v>
      </c>
      <c r="I8" s="6">
        <f t="shared" si="0"/>
        <v>17083.288656716417</v>
      </c>
      <c r="J8" s="6">
        <f t="shared" si="0"/>
        <v>14991.517014925374</v>
      </c>
      <c r="K8" s="6">
        <f t="shared" si="0"/>
        <v>10660.765373134329</v>
      </c>
      <c r="L8" s="6">
        <f t="shared" si="0"/>
        <v>7434.3525373134325</v>
      </c>
      <c r="M8" s="6">
        <f t="shared" si="0"/>
        <v>684.81014925372983</v>
      </c>
      <c r="N8" s="6">
        <f t="shared" si="0"/>
        <v>-9673.8531722054377</v>
      </c>
      <c r="O8" s="81">
        <f>SUM(C8:N8)</f>
        <v>167608.61548451093</v>
      </c>
    </row>
    <row r="11" spans="2:15" ht="15" thickBot="1" x14ac:dyDescent="0.35">
      <c r="C11" s="8" t="s">
        <v>7</v>
      </c>
      <c r="D11" s="8" t="s">
        <v>8</v>
      </c>
      <c r="E11" s="8" t="s">
        <v>9</v>
      </c>
      <c r="F11" s="8" t="s">
        <v>10</v>
      </c>
      <c r="G11" s="8" t="s">
        <v>11</v>
      </c>
      <c r="H11" s="8" t="s">
        <v>12</v>
      </c>
      <c r="I11" s="8" t="s">
        <v>13</v>
      </c>
      <c r="J11" s="8" t="s">
        <v>14</v>
      </c>
      <c r="K11" s="8" t="s">
        <v>15</v>
      </c>
      <c r="L11" s="8" t="s">
        <v>16</v>
      </c>
      <c r="M11" s="8" t="s">
        <v>17</v>
      </c>
      <c r="N11" s="8" t="s">
        <v>18</v>
      </c>
      <c r="O11" s="8" t="s">
        <v>19</v>
      </c>
    </row>
    <row r="12" spans="2:15" ht="16.2" thickBot="1" x14ac:dyDescent="0.35">
      <c r="B12" s="82" t="s">
        <v>63</v>
      </c>
      <c r="C12" s="6">
        <v>0</v>
      </c>
      <c r="D12" s="6">
        <f>Février!$H$18</f>
        <v>6052.0895522388064</v>
      </c>
      <c r="E12" s="6">
        <f>Mars!$H$18</f>
        <v>6982.0895522388064</v>
      </c>
      <c r="F12" s="6">
        <f>Avril!$H$19</f>
        <v>10074.058507462685</v>
      </c>
      <c r="G12" s="6">
        <f>Mai!$H$19</f>
        <v>9497.9364179104468</v>
      </c>
      <c r="H12" s="6">
        <f>Juin!$H$19</f>
        <v>8661.6011940298504</v>
      </c>
      <c r="I12" s="6">
        <f>Juillet!$H$21</f>
        <v>5161.22</v>
      </c>
      <c r="J12" s="6">
        <f>Aout!$H$20</f>
        <v>3734.3283582089553</v>
      </c>
      <c r="K12" s="6">
        <f>Septembre!$H$21</f>
        <v>2867.7611940298507</v>
      </c>
      <c r="L12" s="6">
        <f>Ocotbre!$H$20</f>
        <v>11372.76119402985</v>
      </c>
      <c r="M12" s="6">
        <f>Novembre!$H$21</f>
        <v>10567.76119402985</v>
      </c>
      <c r="N12" s="6">
        <f>Décembre!$H$23</f>
        <v>12958.172205438066</v>
      </c>
      <c r="O12" s="81">
        <f>SUM(C12:N12)</f>
        <v>87929.779369617172</v>
      </c>
    </row>
    <row r="13" spans="2:15" ht="15.6" x14ac:dyDescent="0.3">
      <c r="B13" s="82" t="s">
        <v>67</v>
      </c>
      <c r="C13" s="6">
        <f t="shared" ref="C13:N13" si="1">C12-C26</f>
        <v>0</v>
      </c>
      <c r="D13" s="6">
        <f t="shared" si="1"/>
        <v>5436.6761194029859</v>
      </c>
      <c r="E13" s="6">
        <f t="shared" si="1"/>
        <v>6213.8600000000006</v>
      </c>
      <c r="F13" s="6">
        <f t="shared" si="1"/>
        <v>8200.2295522388049</v>
      </c>
      <c r="G13" s="6">
        <f t="shared" si="1"/>
        <v>8142.6077611940291</v>
      </c>
      <c r="H13" s="6">
        <f t="shared" si="1"/>
        <v>7346.6226865671633</v>
      </c>
      <c r="I13" s="6">
        <f t="shared" si="1"/>
        <v>3954.1740298507466</v>
      </c>
      <c r="J13" s="6">
        <f t="shared" si="1"/>
        <v>2867.2277611940299</v>
      </c>
      <c r="K13" s="6">
        <f t="shared" si="1"/>
        <v>1892.2110447761193</v>
      </c>
      <c r="L13" s="6">
        <f t="shared" si="1"/>
        <v>10417.670447761193</v>
      </c>
      <c r="M13" s="6">
        <f t="shared" si="1"/>
        <v>10200.177910447761</v>
      </c>
      <c r="N13" s="6">
        <f t="shared" si="1"/>
        <v>10877.053474320241</v>
      </c>
      <c r="O13" s="81">
        <f>SUM(C13:N13)</f>
        <v>75548.510787753068</v>
      </c>
    </row>
    <row r="19" spans="2:15" ht="15" thickBot="1" x14ac:dyDescent="0.35"/>
    <row r="20" spans="2:15" ht="16.2" thickBot="1" x14ac:dyDescent="0.35">
      <c r="B20" s="84" t="s">
        <v>120</v>
      </c>
      <c r="C20" s="6">
        <f>Janvier!$H$14</f>
        <v>26308.397611940298</v>
      </c>
      <c r="D20" s="6">
        <f>Février!$H$20</f>
        <v>31690.487164179103</v>
      </c>
      <c r="E20" s="6">
        <f>Mars!$H$20</f>
        <v>31085.487164179103</v>
      </c>
      <c r="F20" s="6">
        <f>Avril!$H$21</f>
        <v>33936.112835820895</v>
      </c>
      <c r="G20" s="6">
        <f>Mai!$H$21</f>
        <v>33899.990746268653</v>
      </c>
      <c r="H20" s="6">
        <f>Juin!$H$21</f>
        <v>32691.155522388057</v>
      </c>
      <c r="I20" s="6">
        <f>Juillet!$H$23</f>
        <v>28952.751940298509</v>
      </c>
      <c r="J20" s="6">
        <f>Aout!$H$22</f>
        <v>22470.860298507461</v>
      </c>
      <c r="K20" s="6">
        <f>Septembre!$H$23</f>
        <v>19039.29313432836</v>
      </c>
      <c r="L20" s="6">
        <f>Ocotbre!$H$22</f>
        <v>21640.561791044776</v>
      </c>
      <c r="M20" s="6">
        <f>Novembre!$H$23</f>
        <v>20185.561791044776</v>
      </c>
      <c r="N20" s="6">
        <f>Décembre!$H$26</f>
        <v>20504.862839879155</v>
      </c>
      <c r="O20" s="81">
        <f>SUM(C20:N20)</f>
        <v>322405.52283987921</v>
      </c>
    </row>
    <row r="21" spans="2:15" ht="15.6" x14ac:dyDescent="0.3">
      <c r="B21" s="84" t="s">
        <v>76</v>
      </c>
      <c r="C21" s="6">
        <f t="shared" ref="C21:N21" si="2">C8+C13</f>
        <v>25552.875223880597</v>
      </c>
      <c r="D21" s="6">
        <f>D8+D13</f>
        <v>27148.506567164179</v>
      </c>
      <c r="E21" s="6">
        <f>E8+E13</f>
        <v>25198.086268656716</v>
      </c>
      <c r="F21" s="6">
        <f t="shared" si="2"/>
        <v>27873.692537313433</v>
      </c>
      <c r="G21" s="6">
        <f t="shared" si="2"/>
        <v>28253.020298507457</v>
      </c>
      <c r="H21" s="6">
        <f t="shared" si="2"/>
        <v>27741.55014925373</v>
      </c>
      <c r="I21" s="6">
        <f t="shared" si="2"/>
        <v>21037.462686567163</v>
      </c>
      <c r="J21" s="6">
        <f t="shared" si="2"/>
        <v>17858.744776119405</v>
      </c>
      <c r="K21" s="6">
        <f t="shared" si="2"/>
        <v>12552.976417910448</v>
      </c>
      <c r="L21" s="6">
        <f t="shared" si="2"/>
        <v>17852.022985074625</v>
      </c>
      <c r="M21" s="6">
        <f t="shared" si="2"/>
        <v>10884.988059701491</v>
      </c>
      <c r="N21" s="6">
        <f t="shared" si="2"/>
        <v>1203.200302114803</v>
      </c>
      <c r="O21" s="81">
        <f>SUM(C21:N21)</f>
        <v>243157.12627226405</v>
      </c>
    </row>
    <row r="24" spans="2:15" ht="15" thickBot="1" x14ac:dyDescent="0.35">
      <c r="C24" s="8" t="s">
        <v>7</v>
      </c>
      <c r="D24" s="8" t="s">
        <v>8</v>
      </c>
      <c r="E24" s="8" t="s">
        <v>9</v>
      </c>
      <c r="F24" s="8" t="s">
        <v>10</v>
      </c>
      <c r="G24" s="8" t="s">
        <v>11</v>
      </c>
      <c r="H24" s="8" t="s">
        <v>12</v>
      </c>
      <c r="I24" s="8" t="s">
        <v>13</v>
      </c>
      <c r="J24" s="8" t="s">
        <v>14</v>
      </c>
      <c r="K24" s="8" t="s">
        <v>15</v>
      </c>
      <c r="L24" s="8" t="s">
        <v>16</v>
      </c>
      <c r="M24" s="8" t="s">
        <v>17</v>
      </c>
      <c r="N24" s="8" t="s">
        <v>18</v>
      </c>
      <c r="O24" s="8" t="s">
        <v>19</v>
      </c>
    </row>
    <row r="25" spans="2:15" ht="16.2" thickBot="1" x14ac:dyDescent="0.35">
      <c r="B25" s="22" t="s">
        <v>64</v>
      </c>
      <c r="C25" s="6">
        <f>Charge!$C$23/3.35</f>
        <v>755.52238805970148</v>
      </c>
      <c r="D25" s="6">
        <f>Charge!$D$23/3.35</f>
        <v>3926.5671641791046</v>
      </c>
      <c r="E25" s="6">
        <f>Charge!$E$23/3.35</f>
        <v>5119.1713432835822</v>
      </c>
      <c r="F25" s="6">
        <f>Charge!$F$23/3.35</f>
        <v>4188.5913432835814</v>
      </c>
      <c r="G25" s="6">
        <f>Charge!$G$23/3.35</f>
        <v>4291.6417910447763</v>
      </c>
      <c r="H25" s="6">
        <f>Charge!$H$23/3.35</f>
        <v>3634.6268656716416</v>
      </c>
      <c r="I25" s="6">
        <f>Charge!$I$23/3.35</f>
        <v>6708.24328358209</v>
      </c>
      <c r="J25" s="6">
        <f>Charge!$J$23/3.35</f>
        <v>3745.0149253731338</v>
      </c>
      <c r="K25" s="6">
        <f>Charge!$K$23/3.35</f>
        <v>5510.7665671641789</v>
      </c>
      <c r="L25" s="6">
        <f>Charge!$L$23/3.35</f>
        <v>2833.4480597014922</v>
      </c>
      <c r="M25" s="6">
        <f>Charge!$M$23/3.35</f>
        <v>8932.9904477611944</v>
      </c>
      <c r="N25" s="6">
        <f>Charge!$N$23/3.31</f>
        <v>17220.543806646525</v>
      </c>
      <c r="O25" s="81">
        <f>SUM(C25:N25)</f>
        <v>66867.127985750994</v>
      </c>
    </row>
    <row r="26" spans="2:15" ht="16.2" thickBot="1" x14ac:dyDescent="0.35">
      <c r="B26" s="22" t="s">
        <v>65</v>
      </c>
      <c r="C26" s="6">
        <f>Charge!$C$32/3.35</f>
        <v>0</v>
      </c>
      <c r="D26" s="6">
        <f>Charge!$D$32/3.35</f>
        <v>615.41343283582091</v>
      </c>
      <c r="E26" s="6">
        <f>Charge!$E$32/3.35</f>
        <v>768.22955223880592</v>
      </c>
      <c r="F26" s="6">
        <f>Charge!$F$32/3.35</f>
        <v>1873.8289552238807</v>
      </c>
      <c r="G26" s="6">
        <f>Charge!$G$32/3.35</f>
        <v>1355.328656716418</v>
      </c>
      <c r="H26" s="6">
        <f>Charge!$H$32/3.35</f>
        <v>1314.9785074626866</v>
      </c>
      <c r="I26" s="6">
        <f>Charge!$I$32/3.35</f>
        <v>1207.0459701492537</v>
      </c>
      <c r="J26" s="6">
        <f>Charge!$J$32/3.35</f>
        <v>867.10059701492548</v>
      </c>
      <c r="K26" s="6">
        <f>Charge!$K$32/3.35</f>
        <v>975.55014925373132</v>
      </c>
      <c r="L26" s="6">
        <f>Charge!$L$32/3.35</f>
        <v>955.09074626865674</v>
      </c>
      <c r="M26" s="6">
        <f>Charge!$M$32/3.35</f>
        <v>367.58328358208956</v>
      </c>
      <c r="N26" s="6">
        <f>Charge!$N$32/3.31</f>
        <v>2081.1187311178246</v>
      </c>
      <c r="O26" s="81">
        <f t="shared" ref="O26:O27" si="3">SUM(C26:N26)</f>
        <v>12381.268581864093</v>
      </c>
    </row>
    <row r="27" spans="2:15" ht="15.6" x14ac:dyDescent="0.3">
      <c r="B27" s="5" t="s">
        <v>59</v>
      </c>
      <c r="C27" s="6">
        <f>Charge!$C$34/3.35</f>
        <v>755.52238805970148</v>
      </c>
      <c r="D27" s="6">
        <f>Charge!$D$34/3.35</f>
        <v>4541.9805970149255</v>
      </c>
      <c r="E27" s="6">
        <f>Charge!$E$34/3.35</f>
        <v>5887.4008955223881</v>
      </c>
      <c r="F27" s="6">
        <f>Charge!$F$34/3.35</f>
        <v>6062.4202985074626</v>
      </c>
      <c r="G27" s="6">
        <f>Charge!$G$34/3.35</f>
        <v>5646.9704477611949</v>
      </c>
      <c r="H27" s="6">
        <f>Charge!$H$34/3.35</f>
        <v>4949.6053731343281</v>
      </c>
      <c r="I27" s="6">
        <f>Charge!$I$34/3.35</f>
        <v>7915.2892537313437</v>
      </c>
      <c r="J27" s="6">
        <f>Charge!$J$34/3.35</f>
        <v>4612.1155223880596</v>
      </c>
      <c r="K27" s="6">
        <f>Charge!$K$34/3.35</f>
        <v>6486.3167164179104</v>
      </c>
      <c r="L27" s="6">
        <f>Charge!$L$34/3.35</f>
        <v>3788.538805970149</v>
      </c>
      <c r="M27" s="6">
        <f>Charge!$M$34/3.35</f>
        <v>9300.5737313432837</v>
      </c>
      <c r="N27" s="6">
        <f>Charge!$N$34/3.31</f>
        <v>19301.66253776435</v>
      </c>
      <c r="O27" s="81">
        <f t="shared" si="3"/>
        <v>79248.396567615098</v>
      </c>
    </row>
  </sheetData>
  <conditionalFormatting sqref="C20:N20">
    <cfRule type="cellIs" dxfId="417" priority="31" operator="lessThan">
      <formula>0</formula>
    </cfRule>
    <cfRule type="cellIs" dxfId="416" priority="32" operator="greaterThanOrEqual">
      <formula>0</formula>
    </cfRule>
  </conditionalFormatting>
  <conditionalFormatting sqref="C7:N7">
    <cfRule type="cellIs" dxfId="415" priority="23" operator="lessThan">
      <formula>0</formula>
    </cfRule>
    <cfRule type="cellIs" dxfId="414" priority="24" operator="greaterThanOrEqual">
      <formula>0</formula>
    </cfRule>
  </conditionalFormatting>
  <conditionalFormatting sqref="C12:N12">
    <cfRule type="cellIs" dxfId="413" priority="19" operator="lessThan">
      <formula>0</formula>
    </cfRule>
    <cfRule type="cellIs" dxfId="412" priority="20" operator="greaterThanOrEqual">
      <formula>0</formula>
    </cfRule>
  </conditionalFormatting>
  <conditionalFormatting sqref="C25:N25">
    <cfRule type="cellIs" dxfId="411" priority="15" operator="lessThan">
      <formula>0</formula>
    </cfRule>
    <cfRule type="cellIs" dxfId="410" priority="16" operator="greaterThanOrEqual">
      <formula>0</formula>
    </cfRule>
  </conditionalFormatting>
  <conditionalFormatting sqref="C26:N26">
    <cfRule type="cellIs" dxfId="409" priority="11" operator="lessThan">
      <formula>0</formula>
    </cfRule>
    <cfRule type="cellIs" dxfId="408" priority="12" operator="greaterThanOrEqual">
      <formula>0</formula>
    </cfRule>
  </conditionalFormatting>
  <conditionalFormatting sqref="C27:N27">
    <cfRule type="cellIs" dxfId="407" priority="9" operator="lessThan">
      <formula>0</formula>
    </cfRule>
    <cfRule type="cellIs" dxfId="406" priority="10" operator="greaterThanOrEqual">
      <formula>0</formula>
    </cfRule>
  </conditionalFormatting>
  <conditionalFormatting sqref="C8:N8">
    <cfRule type="cellIs" dxfId="405" priority="7" operator="lessThan">
      <formula>0</formula>
    </cfRule>
    <cfRule type="cellIs" dxfId="404" priority="8" operator="greaterThanOrEqual">
      <formula>0</formula>
    </cfRule>
  </conditionalFormatting>
  <conditionalFormatting sqref="C13:N13">
    <cfRule type="cellIs" dxfId="403" priority="3" operator="lessThan">
      <formula>0</formula>
    </cfRule>
    <cfRule type="cellIs" dxfId="402" priority="4" operator="greaterThanOrEqual">
      <formula>0</formula>
    </cfRule>
  </conditionalFormatting>
  <conditionalFormatting sqref="C21:N21">
    <cfRule type="cellIs" dxfId="401" priority="1" operator="lessThan">
      <formula>0</formula>
    </cfRule>
    <cfRule type="cellIs" dxfId="400" priority="2" operator="greaterThanOrEqual">
      <formula>0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"/>
  <sheetViews>
    <sheetView zoomScale="102" zoomScaleNormal="102" workbookViewId="0">
      <selection activeCell="D17" sqref="D17"/>
    </sheetView>
  </sheetViews>
  <sheetFormatPr baseColWidth="10" defaultRowHeight="14.4" x14ac:dyDescent="0.3"/>
  <cols>
    <col min="2" max="2" width="26.77734375" bestFit="1" customWidth="1"/>
    <col min="3" max="3" width="14.109375" customWidth="1"/>
    <col min="4" max="4" width="32.21875" style="14" bestFit="1" customWidth="1"/>
    <col min="5" max="5" width="21.5546875" customWidth="1"/>
    <col min="6" max="6" width="25.77734375" customWidth="1"/>
    <col min="7" max="7" width="24.21875" bestFit="1" customWidth="1"/>
    <col min="8" max="8" width="14.6640625" customWidth="1"/>
    <col min="9" max="30" width="28.5546875" customWidth="1"/>
  </cols>
  <sheetData>
    <row r="1" spans="2:8" ht="19.2" customHeight="1" x14ac:dyDescent="0.3"/>
    <row r="2" spans="2:8" ht="19.2" customHeight="1" x14ac:dyDescent="0.3">
      <c r="G2" s="57" t="s">
        <v>25</v>
      </c>
      <c r="H2" s="57">
        <v>3.35</v>
      </c>
    </row>
    <row r="3" spans="2:8" ht="19.2" customHeight="1" thickBot="1" x14ac:dyDescent="0.35"/>
    <row r="4" spans="2:8" ht="19.2" customHeight="1" thickBot="1" x14ac:dyDescent="0.35">
      <c r="C4" s="23" t="s">
        <v>60</v>
      </c>
      <c r="D4" s="9" t="s">
        <v>0</v>
      </c>
      <c r="E4" s="4" t="s">
        <v>3</v>
      </c>
      <c r="F4" s="7" t="s">
        <v>4</v>
      </c>
      <c r="G4" s="17" t="s">
        <v>27</v>
      </c>
      <c r="H4" s="30" t="s">
        <v>5</v>
      </c>
    </row>
    <row r="5" spans="2:8" ht="19.2" customHeight="1" thickBot="1" x14ac:dyDescent="0.35">
      <c r="B5" s="15" t="s">
        <v>1</v>
      </c>
      <c r="C5" s="83" t="s">
        <v>34</v>
      </c>
      <c r="D5" s="9" t="s">
        <v>20</v>
      </c>
      <c r="E5" s="6">
        <v>5280</v>
      </c>
      <c r="F5" s="6">
        <v>0</v>
      </c>
      <c r="G5" s="6">
        <f>(Charge!$C$8+21.82+1154.798+3354)/H2</f>
        <v>1736.6023880597015</v>
      </c>
      <c r="H5" s="25">
        <f t="shared" ref="H5:H11" si="0">E5-(F5+G5)</f>
        <v>3543.3976119402987</v>
      </c>
    </row>
    <row r="6" spans="2:8" ht="19.2" customHeight="1" thickBot="1" x14ac:dyDescent="0.35">
      <c r="B6" s="131" t="s">
        <v>2</v>
      </c>
      <c r="C6" s="83" t="s">
        <v>34</v>
      </c>
      <c r="D6" s="9" t="s">
        <v>21</v>
      </c>
      <c r="E6" s="6">
        <f>6405+1050</f>
        <v>7455</v>
      </c>
      <c r="F6" s="6">
        <v>0</v>
      </c>
      <c r="G6" s="6">
        <v>0</v>
      </c>
      <c r="H6" s="25">
        <f t="shared" si="0"/>
        <v>7455</v>
      </c>
    </row>
    <row r="7" spans="2:8" ht="19.2" customHeight="1" thickBot="1" x14ac:dyDescent="0.35">
      <c r="B7" s="132"/>
      <c r="C7" s="83" t="s">
        <v>34</v>
      </c>
      <c r="D7" s="9" t="s">
        <v>22</v>
      </c>
      <c r="E7" s="6">
        <v>4500</v>
      </c>
      <c r="F7" s="6">
        <v>0</v>
      </c>
      <c r="G7" s="6">
        <v>0</v>
      </c>
      <c r="H7" s="25">
        <f t="shared" si="0"/>
        <v>4500</v>
      </c>
    </row>
    <row r="8" spans="2:8" ht="19.2" customHeight="1" thickBot="1" x14ac:dyDescent="0.35">
      <c r="B8" s="132"/>
      <c r="C8" s="83" t="s">
        <v>34</v>
      </c>
      <c r="D8" s="16" t="s">
        <v>23</v>
      </c>
      <c r="E8" s="6">
        <v>5940</v>
      </c>
      <c r="F8" s="6">
        <v>0</v>
      </c>
      <c r="G8" s="6">
        <v>0</v>
      </c>
      <c r="H8" s="25">
        <f t="shared" si="0"/>
        <v>5940</v>
      </c>
    </row>
    <row r="9" spans="2:8" ht="19.2" customHeight="1" thickBot="1" x14ac:dyDescent="0.35">
      <c r="B9" s="132"/>
      <c r="C9" s="83" t="s">
        <v>34</v>
      </c>
      <c r="D9" s="16" t="s">
        <v>29</v>
      </c>
      <c r="E9" s="6">
        <v>3300</v>
      </c>
      <c r="F9" s="6">
        <v>0</v>
      </c>
      <c r="G9" s="6">
        <v>0</v>
      </c>
      <c r="H9" s="25">
        <f t="shared" si="0"/>
        <v>3300</v>
      </c>
    </row>
    <row r="10" spans="2:8" ht="19.2" customHeight="1" thickBot="1" x14ac:dyDescent="0.35">
      <c r="B10" s="132"/>
      <c r="C10" s="83" t="s">
        <v>34</v>
      </c>
      <c r="D10" s="9" t="s">
        <v>24</v>
      </c>
      <c r="E10" s="6">
        <v>1050</v>
      </c>
      <c r="F10" s="6">
        <v>0</v>
      </c>
      <c r="G10" s="6">
        <v>0</v>
      </c>
      <c r="H10" s="25">
        <f t="shared" si="0"/>
        <v>1050</v>
      </c>
    </row>
    <row r="11" spans="2:8" ht="19.2" customHeight="1" thickBot="1" x14ac:dyDescent="0.35">
      <c r="B11" s="133"/>
      <c r="C11" s="83" t="s">
        <v>34</v>
      </c>
      <c r="D11" s="16" t="s">
        <v>26</v>
      </c>
      <c r="E11" s="6">
        <v>2340</v>
      </c>
      <c r="F11" s="6">
        <v>1820</v>
      </c>
      <c r="G11" s="6">
        <v>0</v>
      </c>
      <c r="H11" s="25">
        <f t="shared" si="0"/>
        <v>520</v>
      </c>
    </row>
    <row r="12" spans="2:8" ht="19.2" customHeight="1" x14ac:dyDescent="0.3"/>
    <row r="13" spans="2:8" ht="19.2" customHeight="1" thickBot="1" x14ac:dyDescent="0.35"/>
    <row r="14" spans="2:8" ht="15.6" x14ac:dyDescent="0.3">
      <c r="G14" s="5" t="s">
        <v>62</v>
      </c>
      <c r="H14" s="6">
        <f>SUM(H5:H11)</f>
        <v>26308.397611940298</v>
      </c>
    </row>
  </sheetData>
  <mergeCells count="1">
    <mergeCell ref="B6:B11"/>
  </mergeCells>
  <conditionalFormatting sqref="H5:H11 H14">
    <cfRule type="cellIs" dxfId="399" priority="43" operator="lessThan">
      <formula>0</formula>
    </cfRule>
    <cfRule type="cellIs" dxfId="398" priority="44" operator="greaterThan">
      <formula>0</formula>
    </cfRule>
  </conditionalFormatting>
  <conditionalFormatting sqref="E5:E11">
    <cfRule type="cellIs" dxfId="397" priority="27" operator="lessThan">
      <formula>0</formula>
    </cfRule>
    <cfRule type="cellIs" dxfId="396" priority="28" operator="greaterThanOrEqual">
      <formula>0</formula>
    </cfRule>
  </conditionalFormatting>
  <conditionalFormatting sqref="F5:F11">
    <cfRule type="cellIs" dxfId="395" priority="5" operator="greaterThanOrEqual">
      <formula>0</formula>
    </cfRule>
    <cfRule type="cellIs" dxfId="394" priority="6" operator="lessThanOrEqual">
      <formula>0</formula>
    </cfRule>
  </conditionalFormatting>
  <conditionalFormatting sqref="G5:G11">
    <cfRule type="cellIs" dxfId="393" priority="3" operator="greaterThanOrEqual">
      <formula>0</formula>
    </cfRule>
    <cfRule type="cellIs" dxfId="392" priority="4" operator="lessThanOrEqual">
      <formula>0</formula>
    </cfRule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20"/>
  <sheetViews>
    <sheetView zoomScale="88" zoomScaleNormal="88" workbookViewId="0">
      <selection activeCell="H21" sqref="H21"/>
    </sheetView>
  </sheetViews>
  <sheetFormatPr baseColWidth="10" defaultRowHeight="14.4" x14ac:dyDescent="0.3"/>
  <cols>
    <col min="2" max="2" width="26.33203125" bestFit="1" customWidth="1"/>
    <col min="3" max="3" width="12.77734375" bestFit="1" customWidth="1"/>
    <col min="4" max="4" width="31.88671875" bestFit="1" customWidth="1"/>
    <col min="5" max="5" width="22.21875" customWidth="1"/>
    <col min="6" max="6" width="25.21875" customWidth="1"/>
    <col min="7" max="7" width="25" bestFit="1" customWidth="1"/>
    <col min="8" max="8" width="15.109375" customWidth="1"/>
    <col min="9" max="36" width="16.77734375" customWidth="1"/>
  </cols>
  <sheetData>
    <row r="1" spans="2:33" x14ac:dyDescent="0.3">
      <c r="AG1" s="2"/>
    </row>
    <row r="2" spans="2:33" ht="19.2" customHeight="1" x14ac:dyDescent="0.3">
      <c r="G2" s="57" t="s">
        <v>25</v>
      </c>
      <c r="H2" s="57">
        <v>3.35</v>
      </c>
    </row>
    <row r="3" spans="2:33" ht="19.2" customHeight="1" thickBot="1" x14ac:dyDescent="0.35"/>
    <row r="4" spans="2:33" ht="19.2" customHeight="1" thickBot="1" x14ac:dyDescent="0.35">
      <c r="C4" s="23" t="s">
        <v>60</v>
      </c>
      <c r="D4" s="3" t="s">
        <v>0</v>
      </c>
      <c r="E4" s="4" t="s">
        <v>3</v>
      </c>
      <c r="F4" s="7" t="s">
        <v>4</v>
      </c>
      <c r="G4" s="17" t="s">
        <v>27</v>
      </c>
      <c r="H4" s="30" t="s">
        <v>5</v>
      </c>
    </row>
    <row r="5" spans="2:33" ht="19.2" customHeight="1" thickBot="1" x14ac:dyDescent="0.35">
      <c r="B5" s="47" t="s">
        <v>1</v>
      </c>
      <c r="C5" s="83" t="s">
        <v>34</v>
      </c>
      <c r="D5" s="9" t="s">
        <v>20</v>
      </c>
      <c r="E5" s="6">
        <v>4800</v>
      </c>
      <c r="F5" s="6">
        <v>0</v>
      </c>
      <c r="G5" s="6">
        <f>(Charge!$D$8+21.82+1154.798+3354)/Février!H2</f>
        <v>1736.6023880597015</v>
      </c>
      <c r="H5" s="25">
        <f>E5-(F5+G5)</f>
        <v>3063.3976119402987</v>
      </c>
    </row>
    <row r="6" spans="2:33" ht="19.2" customHeight="1" thickBot="1" x14ac:dyDescent="0.35">
      <c r="B6" s="131" t="s">
        <v>2</v>
      </c>
      <c r="C6" s="83" t="s">
        <v>34</v>
      </c>
      <c r="D6" s="9" t="s">
        <v>21</v>
      </c>
      <c r="E6" s="6">
        <f>6100+700</f>
        <v>6800</v>
      </c>
      <c r="F6" s="6">
        <v>0</v>
      </c>
      <c r="G6" s="6">
        <v>0</v>
      </c>
      <c r="H6" s="25">
        <f t="shared" ref="H6:H15" si="0">E6-(F6+G6)</f>
        <v>6800</v>
      </c>
    </row>
    <row r="7" spans="2:33" ht="19.2" customHeight="1" thickBot="1" x14ac:dyDescent="0.35">
      <c r="B7" s="132"/>
      <c r="C7" s="83" t="s">
        <v>34</v>
      </c>
      <c r="D7" s="9" t="s">
        <v>22</v>
      </c>
      <c r="E7" s="6">
        <v>4750</v>
      </c>
      <c r="F7" s="6">
        <v>0</v>
      </c>
      <c r="G7" s="6">
        <v>0</v>
      </c>
      <c r="H7" s="25">
        <f t="shared" si="0"/>
        <v>4750</v>
      </c>
    </row>
    <row r="8" spans="2:33" ht="19.2" customHeight="1" thickBot="1" x14ac:dyDescent="0.35">
      <c r="B8" s="132"/>
      <c r="C8" s="83" t="s">
        <v>34</v>
      </c>
      <c r="D8" s="16" t="s">
        <v>23</v>
      </c>
      <c r="E8" s="6">
        <v>5670</v>
      </c>
      <c r="F8" s="6">
        <v>0</v>
      </c>
      <c r="G8" s="6">
        <v>0</v>
      </c>
      <c r="H8" s="25">
        <f t="shared" si="0"/>
        <v>5670</v>
      </c>
    </row>
    <row r="9" spans="2:33" ht="19.2" customHeight="1" thickBot="1" x14ac:dyDescent="0.35">
      <c r="B9" s="132"/>
      <c r="C9" s="83" t="s">
        <v>34</v>
      </c>
      <c r="D9" s="16" t="s">
        <v>29</v>
      </c>
      <c r="E9" s="6">
        <v>3465</v>
      </c>
      <c r="F9" s="6">
        <v>0</v>
      </c>
      <c r="G9" s="6">
        <v>0</v>
      </c>
      <c r="H9" s="25">
        <f t="shared" si="0"/>
        <v>3465</v>
      </c>
    </row>
    <row r="10" spans="2:33" ht="19.2" customHeight="1" thickBot="1" x14ac:dyDescent="0.35">
      <c r="B10" s="132"/>
      <c r="C10" s="83" t="s">
        <v>34</v>
      </c>
      <c r="D10" s="9" t="s">
        <v>24</v>
      </c>
      <c r="E10" s="6">
        <v>1050</v>
      </c>
      <c r="F10" s="6">
        <v>0</v>
      </c>
      <c r="G10" s="6">
        <v>0</v>
      </c>
      <c r="H10" s="25">
        <f t="shared" si="0"/>
        <v>1050</v>
      </c>
    </row>
    <row r="11" spans="2:33" ht="19.2" customHeight="1" thickBot="1" x14ac:dyDescent="0.35">
      <c r="B11" s="132"/>
      <c r="C11" s="83" t="s">
        <v>34</v>
      </c>
      <c r="D11" s="9" t="s">
        <v>26</v>
      </c>
      <c r="E11" s="6">
        <v>3780</v>
      </c>
      <c r="F11" s="6">
        <v>2940</v>
      </c>
      <c r="G11" s="6">
        <v>0</v>
      </c>
      <c r="H11" s="25">
        <f t="shared" si="0"/>
        <v>840</v>
      </c>
    </row>
    <row r="12" spans="2:33" ht="19.2" customHeight="1" x14ac:dyDescent="0.3">
      <c r="G12" s="5" t="s">
        <v>62</v>
      </c>
      <c r="H12" s="25">
        <f>SUM(H5:H11)</f>
        <v>25638.397611940298</v>
      </c>
    </row>
    <row r="13" spans="2:33" ht="19.2" customHeight="1" thickBot="1" x14ac:dyDescent="0.35"/>
    <row r="14" spans="2:33" ht="19.2" customHeight="1" thickBot="1" x14ac:dyDescent="0.35">
      <c r="B14" s="131" t="s">
        <v>2</v>
      </c>
      <c r="C14" s="82" t="s">
        <v>33</v>
      </c>
      <c r="D14" s="9" t="s">
        <v>30</v>
      </c>
      <c r="E14" s="6">
        <v>5670</v>
      </c>
      <c r="F14" s="6">
        <f>(21*200)+(21*10)</f>
        <v>4410</v>
      </c>
      <c r="G14" s="6">
        <v>0</v>
      </c>
      <c r="H14" s="25">
        <f t="shared" si="0"/>
        <v>1260</v>
      </c>
    </row>
    <row r="15" spans="2:33" ht="19.2" customHeight="1" thickBot="1" x14ac:dyDescent="0.35">
      <c r="B15" s="132"/>
      <c r="C15" s="82" t="s">
        <v>33</v>
      </c>
      <c r="D15" s="9" t="s">
        <v>31</v>
      </c>
      <c r="E15" s="6">
        <v>3410</v>
      </c>
      <c r="F15" s="6">
        <f>11*200</f>
        <v>2200</v>
      </c>
      <c r="G15" s="6">
        <v>0</v>
      </c>
      <c r="H15" s="25">
        <f t="shared" si="0"/>
        <v>1210</v>
      </c>
    </row>
    <row r="16" spans="2:33" ht="19.2" customHeight="1" thickBot="1" x14ac:dyDescent="0.35">
      <c r="B16" s="132"/>
      <c r="C16" s="82" t="s">
        <v>33</v>
      </c>
      <c r="D16" s="9" t="s">
        <v>34</v>
      </c>
      <c r="E16" s="6">
        <f>10500/H2</f>
        <v>3134.3283582089553</v>
      </c>
      <c r="F16" s="6"/>
      <c r="G16" s="6"/>
      <c r="H16" s="25">
        <f>E16-(F16+G16)</f>
        <v>3134.3283582089553</v>
      </c>
    </row>
    <row r="17" spans="2:8" ht="19.2" customHeight="1" thickBot="1" x14ac:dyDescent="0.35">
      <c r="B17" s="133"/>
      <c r="C17" s="82" t="s">
        <v>33</v>
      </c>
      <c r="D17" s="9" t="s">
        <v>68</v>
      </c>
      <c r="E17" s="6">
        <f>1500/H2</f>
        <v>447.76119402985074</v>
      </c>
      <c r="F17" s="6"/>
      <c r="G17" s="6"/>
      <c r="H17" s="25">
        <f>E17-(F17+G17)</f>
        <v>447.76119402985074</v>
      </c>
    </row>
    <row r="18" spans="2:8" ht="15.6" x14ac:dyDescent="0.3">
      <c r="G18" s="5" t="s">
        <v>63</v>
      </c>
      <c r="H18" s="51">
        <f>SUM(H14:H17)</f>
        <v>6052.0895522388064</v>
      </c>
    </row>
    <row r="19" spans="2:8" ht="15" thickBot="1" x14ac:dyDescent="0.35"/>
    <row r="20" spans="2:8" ht="15.6" x14ac:dyDescent="0.3">
      <c r="G20" s="5" t="s">
        <v>6</v>
      </c>
      <c r="H20" s="58">
        <f>H12+H18</f>
        <v>31690.487164179103</v>
      </c>
    </row>
  </sheetData>
  <mergeCells count="2">
    <mergeCell ref="B6:B11"/>
    <mergeCell ref="B14:B17"/>
  </mergeCells>
  <conditionalFormatting sqref="H20 E5:E11">
    <cfRule type="cellIs" dxfId="383" priority="71" operator="lessThan">
      <formula>0</formula>
    </cfRule>
    <cfRule type="cellIs" dxfId="382" priority="72" operator="greaterThanOrEqual">
      <formula>0</formula>
    </cfRule>
  </conditionalFormatting>
  <conditionalFormatting sqref="H5:H11">
    <cfRule type="cellIs" dxfId="381" priority="47" operator="lessThan">
      <formula>0</formula>
    </cfRule>
    <cfRule type="cellIs" dxfId="380" priority="48" operator="greaterThan">
      <formula>0</formula>
    </cfRule>
  </conditionalFormatting>
  <conditionalFormatting sqref="G5:G11">
    <cfRule type="cellIs" dxfId="379" priority="29" operator="greaterThanOrEqual">
      <formula>0</formula>
    </cfRule>
    <cfRule type="cellIs" dxfId="378" priority="30" operator="lessThanOrEqual">
      <formula>0</formula>
    </cfRule>
  </conditionalFormatting>
  <conditionalFormatting sqref="F5:F11">
    <cfRule type="cellIs" dxfId="377" priority="27" operator="greaterThanOrEqual">
      <formula>0</formula>
    </cfRule>
    <cfRule type="cellIs" dxfId="376" priority="28" operator="lessThanOrEqual">
      <formula>0</formula>
    </cfRule>
  </conditionalFormatting>
  <conditionalFormatting sqref="E14:E15">
    <cfRule type="cellIs" dxfId="375" priority="21" operator="lessThan">
      <formula>0</formula>
    </cfRule>
    <cfRule type="cellIs" dxfId="374" priority="22" operator="greaterThanOrEqual">
      <formula>0</formula>
    </cfRule>
  </conditionalFormatting>
  <conditionalFormatting sqref="H14:H15">
    <cfRule type="cellIs" dxfId="373" priority="25" operator="lessThan">
      <formula>0</formula>
    </cfRule>
    <cfRule type="cellIs" dxfId="372" priority="26" operator="greaterThan">
      <formula>0</formula>
    </cfRule>
  </conditionalFormatting>
  <conditionalFormatting sqref="F14:G15">
    <cfRule type="cellIs" dxfId="371" priority="23" operator="greaterThanOrEqual">
      <formula>0</formula>
    </cfRule>
    <cfRule type="cellIs" dxfId="370" priority="24" operator="lessThanOrEqual">
      <formula>0</formula>
    </cfRule>
  </conditionalFormatting>
  <conditionalFormatting sqref="E16">
    <cfRule type="cellIs" dxfId="369" priority="11" operator="lessThan">
      <formula>0</formula>
    </cfRule>
    <cfRule type="cellIs" dxfId="368" priority="12" operator="greaterThanOrEqual">
      <formula>0</formula>
    </cfRule>
  </conditionalFormatting>
  <conditionalFormatting sqref="H16">
    <cfRule type="cellIs" dxfId="367" priority="15" operator="lessThan">
      <formula>0</formula>
    </cfRule>
    <cfRule type="cellIs" dxfId="366" priority="16" operator="greaterThan">
      <formula>0</formula>
    </cfRule>
  </conditionalFormatting>
  <conditionalFormatting sqref="F16:G16">
    <cfRule type="cellIs" dxfId="365" priority="13" operator="greaterThanOrEqual">
      <formula>0</formula>
    </cfRule>
    <cfRule type="cellIs" dxfId="364" priority="14" operator="lessThanOrEqual">
      <formula>0</formula>
    </cfRule>
  </conditionalFormatting>
  <conditionalFormatting sqref="E17">
    <cfRule type="cellIs" dxfId="363" priority="5" operator="lessThan">
      <formula>0</formula>
    </cfRule>
    <cfRule type="cellIs" dxfId="362" priority="6" operator="greaterThanOrEqual">
      <formula>0</formula>
    </cfRule>
  </conditionalFormatting>
  <conditionalFormatting sqref="H17">
    <cfRule type="cellIs" dxfId="361" priority="9" operator="lessThan">
      <formula>0</formula>
    </cfRule>
    <cfRule type="cellIs" dxfId="360" priority="10" operator="greaterThan">
      <formula>0</formula>
    </cfRule>
  </conditionalFormatting>
  <conditionalFormatting sqref="F17:G17">
    <cfRule type="cellIs" dxfId="359" priority="7" operator="greaterThanOrEqual">
      <formula>0</formula>
    </cfRule>
    <cfRule type="cellIs" dxfId="358" priority="8" operator="lessThanOrEqual">
      <formula>0</formula>
    </cfRule>
  </conditionalFormatting>
  <conditionalFormatting sqref="H12">
    <cfRule type="cellIs" dxfId="357" priority="3" operator="lessThan">
      <formula>0</formula>
    </cfRule>
    <cfRule type="cellIs" dxfId="356" priority="4" operator="greaterThan">
      <formula>0</formula>
    </cfRule>
  </conditionalFormatting>
  <conditionalFormatting sqref="H18">
    <cfRule type="cellIs" dxfId="355" priority="1" operator="lessThan">
      <formula>0</formula>
    </cfRule>
    <cfRule type="cellIs" dxfId="354" priority="2" operator="greaterThan">
      <formula>0</formula>
    </cfRule>
  </conditionalFormatting>
  <pageMargins left="0.7" right="0.7" top="0.75" bottom="0.75" header="0.3" footer="0.3"/>
  <pageSetup paperSize="9" orientation="portrait" verticalDpi="30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0"/>
  <sheetViews>
    <sheetView zoomScale="96" zoomScaleNormal="96" workbookViewId="0">
      <selection activeCell="H21" sqref="H21"/>
    </sheetView>
  </sheetViews>
  <sheetFormatPr baseColWidth="10" defaultRowHeight="14.4" x14ac:dyDescent="0.3"/>
  <cols>
    <col min="2" max="2" width="25.88671875" bestFit="1" customWidth="1"/>
    <col min="3" max="3" width="12.33203125" bestFit="1" customWidth="1"/>
    <col min="4" max="4" width="23.33203125" bestFit="1" customWidth="1"/>
    <col min="5" max="5" width="21.77734375" bestFit="1" customWidth="1"/>
    <col min="6" max="6" width="25.6640625" bestFit="1" customWidth="1"/>
    <col min="7" max="7" width="23.33203125" bestFit="1" customWidth="1"/>
    <col min="8" max="8" width="15.21875" bestFit="1" customWidth="1"/>
    <col min="9" max="38" width="17.109375" customWidth="1"/>
    <col min="39" max="39" width="18.21875" bestFit="1" customWidth="1"/>
    <col min="40" max="40" width="20.5546875" customWidth="1"/>
  </cols>
  <sheetData>
    <row r="2" spans="2:8" x14ac:dyDescent="0.3">
      <c r="G2" s="57" t="s">
        <v>25</v>
      </c>
      <c r="H2" s="57">
        <v>3.35</v>
      </c>
    </row>
    <row r="3" spans="2:8" ht="15" thickBot="1" x14ac:dyDescent="0.35"/>
    <row r="4" spans="2:8" ht="16.2" thickBot="1" x14ac:dyDescent="0.35">
      <c r="C4" s="23" t="s">
        <v>60</v>
      </c>
      <c r="D4" s="3" t="s">
        <v>0</v>
      </c>
      <c r="E4" s="4" t="s">
        <v>3</v>
      </c>
      <c r="F4" s="7" t="s">
        <v>4</v>
      </c>
      <c r="G4" s="17" t="s">
        <v>27</v>
      </c>
      <c r="H4" s="30" t="s">
        <v>5</v>
      </c>
    </row>
    <row r="5" spans="2:8" ht="29.4" thickBot="1" x14ac:dyDescent="0.35">
      <c r="B5" s="59" t="s">
        <v>1</v>
      </c>
      <c r="C5" s="83" t="s">
        <v>34</v>
      </c>
      <c r="D5" s="9" t="s">
        <v>20</v>
      </c>
      <c r="E5" s="6">
        <v>4560</v>
      </c>
      <c r="F5" s="6"/>
      <c r="G5" s="6">
        <f>(Charge!$E$8+21.82+1154.798+3354)/Mars!H2</f>
        <v>1736.6023880597015</v>
      </c>
      <c r="H5" s="25">
        <f>E5-(F5+G5)</f>
        <v>2823.3976119402987</v>
      </c>
    </row>
    <row r="6" spans="2:8" ht="16.2" customHeight="1" thickBot="1" x14ac:dyDescent="0.35">
      <c r="B6" s="131" t="s">
        <v>2</v>
      </c>
      <c r="C6" s="83" t="s">
        <v>34</v>
      </c>
      <c r="D6" s="9" t="s">
        <v>21</v>
      </c>
      <c r="E6" s="6">
        <f>6405+700</f>
        <v>7105</v>
      </c>
      <c r="F6" s="6"/>
      <c r="G6" s="6"/>
      <c r="H6" s="25">
        <f t="shared" ref="H6:H15" si="0">E6-(F6+G6)</f>
        <v>7105</v>
      </c>
    </row>
    <row r="7" spans="2:8" ht="16.2" customHeight="1" thickBot="1" x14ac:dyDescent="0.35">
      <c r="B7" s="132"/>
      <c r="C7" s="83" t="s">
        <v>34</v>
      </c>
      <c r="D7" s="9" t="s">
        <v>22</v>
      </c>
      <c r="E7" s="6">
        <f>350+5250</f>
        <v>5600</v>
      </c>
      <c r="F7" s="6"/>
      <c r="G7" s="6"/>
      <c r="H7" s="25">
        <f t="shared" si="0"/>
        <v>5600</v>
      </c>
    </row>
    <row r="8" spans="2:8" ht="16.2" customHeight="1" thickBot="1" x14ac:dyDescent="0.35">
      <c r="B8" s="132"/>
      <c r="C8" s="83" t="s">
        <v>34</v>
      </c>
      <c r="D8" s="16" t="s">
        <v>23</v>
      </c>
      <c r="E8" s="6">
        <v>5400</v>
      </c>
      <c r="F8" s="6"/>
      <c r="G8" s="6"/>
      <c r="H8" s="25">
        <f t="shared" si="0"/>
        <v>5400</v>
      </c>
    </row>
    <row r="9" spans="2:8" ht="16.2" customHeight="1" thickBot="1" x14ac:dyDescent="0.35">
      <c r="B9" s="132"/>
      <c r="C9" s="83" t="s">
        <v>34</v>
      </c>
      <c r="D9" s="16" t="s">
        <v>29</v>
      </c>
      <c r="E9" s="6">
        <v>1335</v>
      </c>
      <c r="F9" s="6"/>
      <c r="G9" s="6"/>
      <c r="H9" s="25">
        <f t="shared" si="0"/>
        <v>1335</v>
      </c>
    </row>
    <row r="10" spans="2:8" ht="16.2" customHeight="1" thickBot="1" x14ac:dyDescent="0.35">
      <c r="B10" s="132"/>
      <c r="C10" s="83" t="s">
        <v>34</v>
      </c>
      <c r="D10" s="9" t="s">
        <v>24</v>
      </c>
      <c r="E10" s="6">
        <v>1000</v>
      </c>
      <c r="F10" s="6"/>
      <c r="G10" s="6"/>
      <c r="H10" s="25">
        <f t="shared" si="0"/>
        <v>1000</v>
      </c>
    </row>
    <row r="11" spans="2:8" ht="16.2" customHeight="1" thickBot="1" x14ac:dyDescent="0.35">
      <c r="B11" s="132"/>
      <c r="C11" s="83" t="s">
        <v>34</v>
      </c>
      <c r="D11" s="9" t="s">
        <v>26</v>
      </c>
      <c r="E11" s="6">
        <v>3780</v>
      </c>
      <c r="F11" s="6">
        <v>2940</v>
      </c>
      <c r="G11" s="6"/>
      <c r="H11" s="25">
        <f t="shared" si="0"/>
        <v>840</v>
      </c>
    </row>
    <row r="12" spans="2:8" ht="16.2" customHeight="1" x14ac:dyDescent="0.3">
      <c r="G12" s="5" t="s">
        <v>62</v>
      </c>
      <c r="H12" s="25">
        <f>SUM(H5:H11)</f>
        <v>24103.397611940298</v>
      </c>
    </row>
    <row r="13" spans="2:8" ht="16.2" customHeight="1" thickBot="1" x14ac:dyDescent="0.35"/>
    <row r="14" spans="2:8" ht="16.2" customHeight="1" thickBot="1" x14ac:dyDescent="0.35">
      <c r="B14" s="131" t="s">
        <v>2</v>
      </c>
      <c r="C14" s="82" t="s">
        <v>33</v>
      </c>
      <c r="D14" s="9" t="s">
        <v>30</v>
      </c>
      <c r="E14" s="6">
        <v>5400</v>
      </c>
      <c r="F14" s="6">
        <f>(20*200)+(20*10)</f>
        <v>4200</v>
      </c>
      <c r="G14" s="6"/>
      <c r="H14" s="25">
        <f t="shared" si="0"/>
        <v>1200</v>
      </c>
    </row>
    <row r="15" spans="2:8" ht="16.2" customHeight="1" thickBot="1" x14ac:dyDescent="0.35">
      <c r="B15" s="132"/>
      <c r="C15" s="82" t="s">
        <v>33</v>
      </c>
      <c r="D15" s="9" t="s">
        <v>31</v>
      </c>
      <c r="E15" s="6">
        <f>6200</f>
        <v>6200</v>
      </c>
      <c r="F15" s="6">
        <f>20*200</f>
        <v>4000</v>
      </c>
      <c r="G15" s="6"/>
      <c r="H15" s="25">
        <f t="shared" si="0"/>
        <v>2200</v>
      </c>
    </row>
    <row r="16" spans="2:8" ht="16.2" customHeight="1" thickBot="1" x14ac:dyDescent="0.35">
      <c r="B16" s="132"/>
      <c r="C16" s="82" t="s">
        <v>33</v>
      </c>
      <c r="D16" s="9" t="s">
        <v>34</v>
      </c>
      <c r="E16" s="6">
        <f>10500/H2</f>
        <v>3134.3283582089553</v>
      </c>
      <c r="F16" s="6"/>
      <c r="G16" s="6"/>
      <c r="H16" s="25">
        <f>E16-(F16+G16)</f>
        <v>3134.3283582089553</v>
      </c>
    </row>
    <row r="17" spans="2:8" ht="16.2" customHeight="1" thickBot="1" x14ac:dyDescent="0.35">
      <c r="B17" s="133"/>
      <c r="C17" s="82" t="s">
        <v>33</v>
      </c>
      <c r="D17" s="9" t="s">
        <v>68</v>
      </c>
      <c r="E17" s="6">
        <f>1500/H2</f>
        <v>447.76119402985074</v>
      </c>
      <c r="F17" s="6"/>
      <c r="G17" s="6"/>
      <c r="H17" s="25">
        <f>E17-(F17+G17)</f>
        <v>447.76119402985074</v>
      </c>
    </row>
    <row r="18" spans="2:8" ht="15.6" x14ac:dyDescent="0.3">
      <c r="G18" s="5" t="s">
        <v>63</v>
      </c>
      <c r="H18" s="51">
        <f>SUM(H14:H17)</f>
        <v>6982.0895522388064</v>
      </c>
    </row>
    <row r="19" spans="2:8" ht="15" thickBot="1" x14ac:dyDescent="0.35"/>
    <row r="20" spans="2:8" ht="15.6" x14ac:dyDescent="0.3">
      <c r="G20" s="22" t="s">
        <v>6</v>
      </c>
      <c r="H20" s="58">
        <f>H12+H18</f>
        <v>31085.487164179103</v>
      </c>
    </row>
  </sheetData>
  <mergeCells count="2">
    <mergeCell ref="B6:B11"/>
    <mergeCell ref="B14:B17"/>
  </mergeCells>
  <conditionalFormatting sqref="H5:H11">
    <cfRule type="cellIs" dxfId="345" priority="61" operator="lessThan">
      <formula>0</formula>
    </cfRule>
    <cfRule type="cellIs" dxfId="344" priority="62" operator="greaterThan">
      <formula>0</formula>
    </cfRule>
  </conditionalFormatting>
  <conditionalFormatting sqref="E5:E11">
    <cfRule type="cellIs" dxfId="343" priority="51" operator="lessThan">
      <formula>0</formula>
    </cfRule>
    <cfRule type="cellIs" dxfId="342" priority="52" operator="greaterThanOrEqual">
      <formula>0</formula>
    </cfRule>
  </conditionalFormatting>
  <conditionalFormatting sqref="G5:G11">
    <cfRule type="cellIs" dxfId="341" priority="39" operator="greaterThanOrEqual">
      <formula>0</formula>
    </cfRule>
    <cfRule type="cellIs" dxfId="340" priority="40" operator="lessThanOrEqual">
      <formula>0</formula>
    </cfRule>
  </conditionalFormatting>
  <conditionalFormatting sqref="F5:F11">
    <cfRule type="cellIs" dxfId="339" priority="37" operator="greaterThanOrEqual">
      <formula>0</formula>
    </cfRule>
    <cfRule type="cellIs" dxfId="338" priority="38" operator="lessThanOrEqual">
      <formula>0</formula>
    </cfRule>
  </conditionalFormatting>
  <conditionalFormatting sqref="H14:H15">
    <cfRule type="cellIs" dxfId="337" priority="35" operator="lessThan">
      <formula>0</formula>
    </cfRule>
    <cfRule type="cellIs" dxfId="336" priority="36" operator="greaterThan">
      <formula>0</formula>
    </cfRule>
  </conditionalFormatting>
  <conditionalFormatting sqref="F14:G15">
    <cfRule type="cellIs" dxfId="335" priority="33" operator="greaterThanOrEqual">
      <formula>0</formula>
    </cfRule>
    <cfRule type="cellIs" dxfId="334" priority="34" operator="lessThanOrEqual">
      <formula>0</formula>
    </cfRule>
  </conditionalFormatting>
  <conditionalFormatting sqref="E14:E15">
    <cfRule type="cellIs" dxfId="333" priority="31" operator="lessThan">
      <formula>0</formula>
    </cfRule>
    <cfRule type="cellIs" dxfId="332" priority="32" operator="greaterThanOrEqual">
      <formula>0</formula>
    </cfRule>
  </conditionalFormatting>
  <conditionalFormatting sqref="H20">
    <cfRule type="cellIs" dxfId="331" priority="23" operator="lessThan">
      <formula>0</formula>
    </cfRule>
    <cfRule type="cellIs" dxfId="330" priority="24" operator="greaterThan">
      <formula>0</formula>
    </cfRule>
  </conditionalFormatting>
  <conditionalFormatting sqref="E16">
    <cfRule type="cellIs" dxfId="329" priority="11" operator="lessThan">
      <formula>0</formula>
    </cfRule>
    <cfRule type="cellIs" dxfId="328" priority="12" operator="greaterThanOrEqual">
      <formula>0</formula>
    </cfRule>
  </conditionalFormatting>
  <conditionalFormatting sqref="H16">
    <cfRule type="cellIs" dxfId="327" priority="15" operator="lessThan">
      <formula>0</formula>
    </cfRule>
    <cfRule type="cellIs" dxfId="326" priority="16" operator="greaterThan">
      <formula>0</formula>
    </cfRule>
  </conditionalFormatting>
  <conditionalFormatting sqref="F16:G16">
    <cfRule type="cellIs" dxfId="325" priority="13" operator="greaterThanOrEqual">
      <formula>0</formula>
    </cfRule>
    <cfRule type="cellIs" dxfId="324" priority="14" operator="lessThanOrEqual">
      <formula>0</formula>
    </cfRule>
  </conditionalFormatting>
  <conditionalFormatting sqref="E17">
    <cfRule type="cellIs" dxfId="323" priority="5" operator="lessThan">
      <formula>0</formula>
    </cfRule>
    <cfRule type="cellIs" dxfId="322" priority="6" operator="greaterThanOrEqual">
      <formula>0</formula>
    </cfRule>
  </conditionalFormatting>
  <conditionalFormatting sqref="H17">
    <cfRule type="cellIs" dxfId="321" priority="9" operator="lessThan">
      <formula>0</formula>
    </cfRule>
    <cfRule type="cellIs" dxfId="320" priority="10" operator="greaterThan">
      <formula>0</formula>
    </cfRule>
  </conditionalFormatting>
  <conditionalFormatting sqref="F17:G17">
    <cfRule type="cellIs" dxfId="319" priority="7" operator="greaterThanOrEqual">
      <formula>0</formula>
    </cfRule>
    <cfRule type="cellIs" dxfId="318" priority="8" operator="lessThanOrEqual">
      <formula>0</formula>
    </cfRule>
  </conditionalFormatting>
  <conditionalFormatting sqref="H12">
    <cfRule type="cellIs" dxfId="317" priority="3" operator="lessThan">
      <formula>0</formula>
    </cfRule>
    <cfRule type="cellIs" dxfId="316" priority="4" operator="greaterThan">
      <formula>0</formula>
    </cfRule>
  </conditionalFormatting>
  <conditionalFormatting sqref="H18">
    <cfRule type="cellIs" dxfId="315" priority="1" operator="lessThan">
      <formula>0</formula>
    </cfRule>
    <cfRule type="cellIs" dxfId="314" priority="2" operator="greaterThan">
      <formula>0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32"/>
  <sheetViews>
    <sheetView zoomScale="90" zoomScaleNormal="90" workbookViewId="0">
      <selection activeCell="H22" sqref="H22"/>
    </sheetView>
  </sheetViews>
  <sheetFormatPr baseColWidth="10" defaultRowHeight="14.4" x14ac:dyDescent="0.3"/>
  <cols>
    <col min="2" max="2" width="25.77734375" bestFit="1" customWidth="1"/>
    <col min="3" max="3" width="13.109375" bestFit="1" customWidth="1"/>
    <col min="4" max="4" width="23.77734375" bestFit="1" customWidth="1"/>
    <col min="5" max="5" width="22.5546875" bestFit="1" customWidth="1"/>
    <col min="6" max="6" width="26.21875" bestFit="1" customWidth="1"/>
    <col min="7" max="7" width="24.21875" bestFit="1" customWidth="1"/>
    <col min="8" max="8" width="16.109375" bestFit="1" customWidth="1"/>
    <col min="9" max="38" width="17.109375" customWidth="1"/>
    <col min="39" max="39" width="18.21875" bestFit="1" customWidth="1"/>
    <col min="40" max="40" width="20.5546875" customWidth="1"/>
  </cols>
  <sheetData>
    <row r="2" spans="2:41" x14ac:dyDescent="0.3">
      <c r="G2" s="57" t="s">
        <v>25</v>
      </c>
      <c r="H2" s="57">
        <v>3.35</v>
      </c>
    </row>
    <row r="3" spans="2:41" ht="15" thickBot="1" x14ac:dyDescent="0.35"/>
    <row r="4" spans="2:41" ht="16.2" thickBot="1" x14ac:dyDescent="0.35">
      <c r="C4" s="23" t="s">
        <v>60</v>
      </c>
      <c r="D4" s="3" t="s">
        <v>0</v>
      </c>
      <c r="E4" s="4" t="s">
        <v>3</v>
      </c>
      <c r="F4" s="7" t="s">
        <v>4</v>
      </c>
      <c r="G4" s="17" t="s">
        <v>27</v>
      </c>
      <c r="H4" s="30" t="s">
        <v>5</v>
      </c>
    </row>
    <row r="5" spans="2:41" ht="29.4" thickBot="1" x14ac:dyDescent="0.35">
      <c r="B5" s="15" t="s">
        <v>1</v>
      </c>
      <c r="C5" s="83" t="s">
        <v>35</v>
      </c>
      <c r="D5" s="9" t="s">
        <v>20</v>
      </c>
      <c r="E5" s="6">
        <v>4560</v>
      </c>
      <c r="F5" s="6"/>
      <c r="G5" s="6">
        <f>(Charge!$F$8+21.82+1154.798+3354)/Avril!H2</f>
        <v>1747.945671641791</v>
      </c>
      <c r="H5" s="25">
        <f t="shared" ref="H5:H18" si="0">E5-(F5+G5)</f>
        <v>2812.0543283582092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2:41" ht="16.2" thickBot="1" x14ac:dyDescent="0.35">
      <c r="B6" s="131" t="s">
        <v>2</v>
      </c>
      <c r="C6" s="83" t="s">
        <v>35</v>
      </c>
      <c r="D6" s="9" t="s">
        <v>21</v>
      </c>
      <c r="E6" s="6">
        <f>6100+350</f>
        <v>6450</v>
      </c>
      <c r="F6" s="6"/>
      <c r="G6" s="6"/>
      <c r="H6" s="25">
        <f t="shared" si="0"/>
        <v>6450</v>
      </c>
    </row>
    <row r="7" spans="2:41" ht="16.2" thickBot="1" x14ac:dyDescent="0.35">
      <c r="B7" s="132"/>
      <c r="C7" s="83" t="s">
        <v>35</v>
      </c>
      <c r="D7" s="9" t="s">
        <v>22</v>
      </c>
      <c r="E7" s="6">
        <f>4500+700</f>
        <v>5200</v>
      </c>
      <c r="F7" s="6"/>
      <c r="G7" s="6"/>
      <c r="H7" s="25">
        <f t="shared" si="0"/>
        <v>5200</v>
      </c>
    </row>
    <row r="8" spans="2:41" ht="16.2" thickBot="1" x14ac:dyDescent="0.35">
      <c r="B8" s="132"/>
      <c r="C8" s="83" t="s">
        <v>35</v>
      </c>
      <c r="D8" s="16" t="s">
        <v>23</v>
      </c>
      <c r="E8" s="6">
        <v>4860</v>
      </c>
      <c r="F8" s="6"/>
      <c r="G8" s="6"/>
      <c r="H8" s="25">
        <f t="shared" si="0"/>
        <v>4860</v>
      </c>
    </row>
    <row r="9" spans="2:41" ht="16.2" thickBot="1" x14ac:dyDescent="0.35">
      <c r="B9" s="132"/>
      <c r="C9" s="83" t="s">
        <v>35</v>
      </c>
      <c r="D9" s="16" t="s">
        <v>29</v>
      </c>
      <c r="E9" s="12">
        <v>2970</v>
      </c>
      <c r="F9" s="6"/>
      <c r="G9" s="6"/>
      <c r="H9" s="25">
        <f t="shared" si="0"/>
        <v>2970</v>
      </c>
    </row>
    <row r="10" spans="2:41" ht="16.2" thickBot="1" x14ac:dyDescent="0.35">
      <c r="B10" s="132"/>
      <c r="C10" s="83" t="s">
        <v>35</v>
      </c>
      <c r="D10" s="9" t="s">
        <v>24</v>
      </c>
      <c r="E10" s="12">
        <v>850</v>
      </c>
      <c r="F10" s="6"/>
      <c r="G10" s="6"/>
      <c r="H10" s="25">
        <f t="shared" si="0"/>
        <v>850</v>
      </c>
    </row>
    <row r="11" spans="2:41" ht="16.2" thickBot="1" x14ac:dyDescent="0.35">
      <c r="B11" s="132"/>
      <c r="C11" s="83" t="s">
        <v>35</v>
      </c>
      <c r="D11" s="9" t="s">
        <v>26</v>
      </c>
      <c r="E11" s="12">
        <v>3240</v>
      </c>
      <c r="F11" s="6">
        <f>140*18</f>
        <v>2520</v>
      </c>
      <c r="G11" s="6"/>
      <c r="H11" s="25">
        <f t="shared" si="0"/>
        <v>720</v>
      </c>
    </row>
    <row r="12" spans="2:41" ht="15.6" x14ac:dyDescent="0.3">
      <c r="G12" s="5" t="s">
        <v>62</v>
      </c>
      <c r="H12" s="25">
        <f>SUM(H5:H11)</f>
        <v>23862.054328358208</v>
      </c>
    </row>
    <row r="13" spans="2:41" ht="15" thickBot="1" x14ac:dyDescent="0.35"/>
    <row r="14" spans="2:41" ht="29.4" thickBot="1" x14ac:dyDescent="0.35">
      <c r="B14" s="15" t="s">
        <v>1</v>
      </c>
      <c r="C14" s="82" t="s">
        <v>33</v>
      </c>
      <c r="D14" s="9" t="s">
        <v>32</v>
      </c>
      <c r="E14" s="6">
        <f>4370+1035</f>
        <v>5405</v>
      </c>
      <c r="F14" s="6"/>
      <c r="G14" s="6">
        <f>(Charge!$F$27+28.205+1563.449+4216)/Avril!H2</f>
        <v>2193.0310447761194</v>
      </c>
      <c r="H14" s="25">
        <f>E14-(F14+G14)</f>
        <v>3211.9689552238806</v>
      </c>
    </row>
    <row r="15" spans="2:41" ht="16.2" thickBot="1" x14ac:dyDescent="0.35">
      <c r="B15" s="132"/>
      <c r="C15" s="82" t="s">
        <v>33</v>
      </c>
      <c r="D15" s="9" t="s">
        <v>30</v>
      </c>
      <c r="E15" s="6">
        <v>4860</v>
      </c>
      <c r="F15" s="6">
        <f>(18*200)+(18*10)</f>
        <v>3780</v>
      </c>
      <c r="G15" s="6"/>
      <c r="H15" s="25">
        <f t="shared" si="0"/>
        <v>1080</v>
      </c>
    </row>
    <row r="16" spans="2:41" ht="16.2" thickBot="1" x14ac:dyDescent="0.35">
      <c r="B16" s="132"/>
      <c r="C16" s="82" t="s">
        <v>33</v>
      </c>
      <c r="D16" s="9" t="s">
        <v>31</v>
      </c>
      <c r="E16" s="6">
        <f>6200</f>
        <v>6200</v>
      </c>
      <c r="F16" s="6">
        <f>20*200</f>
        <v>4000</v>
      </c>
      <c r="G16" s="6"/>
      <c r="H16" s="25">
        <f t="shared" si="0"/>
        <v>2200</v>
      </c>
    </row>
    <row r="17" spans="2:30" ht="16.2" thickBot="1" x14ac:dyDescent="0.35">
      <c r="B17" s="132"/>
      <c r="C17" s="82" t="s">
        <v>33</v>
      </c>
      <c r="D17" s="9" t="s">
        <v>34</v>
      </c>
      <c r="E17" s="48">
        <f>10500/H2</f>
        <v>3134.3283582089553</v>
      </c>
      <c r="F17" s="6"/>
      <c r="G17" s="6"/>
      <c r="H17" s="25">
        <f t="shared" si="0"/>
        <v>3134.3283582089553</v>
      </c>
    </row>
    <row r="18" spans="2:30" ht="16.2" thickBot="1" x14ac:dyDescent="0.35">
      <c r="B18" s="133"/>
      <c r="C18" s="82" t="s">
        <v>33</v>
      </c>
      <c r="D18" s="31" t="s">
        <v>68</v>
      </c>
      <c r="E18" s="32">
        <f>1500/3.35</f>
        <v>447.76119402985074</v>
      </c>
      <c r="F18" s="6"/>
      <c r="G18" s="6"/>
      <c r="H18" s="25">
        <f t="shared" si="0"/>
        <v>447.76119402985074</v>
      </c>
    </row>
    <row r="19" spans="2:30" ht="15.6" x14ac:dyDescent="0.3">
      <c r="G19" s="5" t="s">
        <v>63</v>
      </c>
      <c r="H19" s="25">
        <f>SUM(H14:H18)</f>
        <v>10074.058507462685</v>
      </c>
    </row>
    <row r="20" spans="2:30" ht="15" thickBot="1" x14ac:dyDescent="0.35"/>
    <row r="21" spans="2:30" ht="15.6" x14ac:dyDescent="0.3">
      <c r="G21" s="5" t="s">
        <v>6</v>
      </c>
      <c r="H21" s="51">
        <f>H12+H19</f>
        <v>33936.112835820895</v>
      </c>
    </row>
    <row r="32" spans="2:30" x14ac:dyDescent="0.3"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</sheetData>
  <mergeCells count="2">
    <mergeCell ref="B6:B11"/>
    <mergeCell ref="B15:B18"/>
  </mergeCells>
  <conditionalFormatting sqref="H5:H11 H21">
    <cfRule type="cellIs" dxfId="305" priority="49" operator="lessThan">
      <formula>0</formula>
    </cfRule>
    <cfRule type="cellIs" dxfId="304" priority="50" operator="greaterThan">
      <formula>0</formula>
    </cfRule>
  </conditionalFormatting>
  <conditionalFormatting sqref="E5:E8">
    <cfRule type="cellIs" dxfId="303" priority="43" operator="lessThan">
      <formula>0</formula>
    </cfRule>
    <cfRule type="cellIs" dxfId="302" priority="44" operator="greaterThanOrEqual">
      <formula>0</formula>
    </cfRule>
  </conditionalFormatting>
  <conditionalFormatting sqref="G5:G11">
    <cfRule type="cellIs" dxfId="301" priority="37" operator="greaterThanOrEqual">
      <formula>0</formula>
    </cfRule>
    <cfRule type="cellIs" dxfId="300" priority="38" operator="lessThanOrEqual">
      <formula>0</formula>
    </cfRule>
  </conditionalFormatting>
  <conditionalFormatting sqref="F5:F11">
    <cfRule type="cellIs" dxfId="299" priority="35" operator="greaterThanOrEqual">
      <formula>0</formula>
    </cfRule>
    <cfRule type="cellIs" dxfId="298" priority="36" operator="lessThanOrEqual">
      <formula>0</formula>
    </cfRule>
  </conditionalFormatting>
  <conditionalFormatting sqref="H15:H17">
    <cfRule type="cellIs" dxfId="297" priority="33" operator="lessThan">
      <formula>0</formula>
    </cfRule>
    <cfRule type="cellIs" dxfId="296" priority="34" operator="greaterThan">
      <formula>0</formula>
    </cfRule>
  </conditionalFormatting>
  <conditionalFormatting sqref="E15:E17">
    <cfRule type="cellIs" dxfId="295" priority="31" operator="lessThan">
      <formula>0</formula>
    </cfRule>
    <cfRule type="cellIs" dxfId="294" priority="32" operator="greaterThanOrEqual">
      <formula>0</formula>
    </cfRule>
  </conditionalFormatting>
  <conditionalFormatting sqref="F15:G17">
    <cfRule type="cellIs" dxfId="293" priority="29" operator="greaterThanOrEqual">
      <formula>0</formula>
    </cfRule>
    <cfRule type="cellIs" dxfId="292" priority="30" operator="lessThanOrEqual">
      <formula>0</formula>
    </cfRule>
  </conditionalFormatting>
  <conditionalFormatting sqref="H14">
    <cfRule type="cellIs" dxfId="291" priority="27" operator="lessThan">
      <formula>0</formula>
    </cfRule>
    <cfRule type="cellIs" dxfId="290" priority="28" operator="greaterThan">
      <formula>0</formula>
    </cfRule>
  </conditionalFormatting>
  <conditionalFormatting sqref="E14">
    <cfRule type="cellIs" dxfId="289" priority="25" operator="lessThan">
      <formula>0</formula>
    </cfRule>
    <cfRule type="cellIs" dxfId="288" priority="26" operator="greaterThanOrEqual">
      <formula>0</formula>
    </cfRule>
  </conditionalFormatting>
  <conditionalFormatting sqref="F14:G14">
    <cfRule type="cellIs" dxfId="287" priority="23" operator="greaterThanOrEqual">
      <formula>0</formula>
    </cfRule>
    <cfRule type="cellIs" dxfId="286" priority="24" operator="lessThanOrEqual">
      <formula>0</formula>
    </cfRule>
  </conditionalFormatting>
  <conditionalFormatting sqref="F18">
    <cfRule type="cellIs" dxfId="285" priority="9" operator="greaterThanOrEqual">
      <formula>0</formula>
    </cfRule>
    <cfRule type="cellIs" dxfId="284" priority="10" operator="lessThanOrEqual">
      <formula>0</formula>
    </cfRule>
  </conditionalFormatting>
  <conditionalFormatting sqref="G18">
    <cfRule type="cellIs" dxfId="283" priority="7" operator="greaterThanOrEqual">
      <formula>0</formula>
    </cfRule>
    <cfRule type="cellIs" dxfId="282" priority="8" operator="lessThanOrEqual">
      <formula>0</formula>
    </cfRule>
  </conditionalFormatting>
  <conditionalFormatting sqref="H18">
    <cfRule type="cellIs" dxfId="281" priority="5" operator="lessThan">
      <formula>0</formula>
    </cfRule>
    <cfRule type="cellIs" dxfId="280" priority="6" operator="greaterThan">
      <formula>0</formula>
    </cfRule>
  </conditionalFormatting>
  <conditionalFormatting sqref="H12">
    <cfRule type="cellIs" dxfId="279" priority="3" operator="lessThan">
      <formula>0</formula>
    </cfRule>
    <cfRule type="cellIs" dxfId="278" priority="4" operator="greaterThan">
      <formula>0</formula>
    </cfRule>
  </conditionalFormatting>
  <conditionalFormatting sqref="H19">
    <cfRule type="cellIs" dxfId="277" priority="1" operator="lessThan">
      <formula>0</formula>
    </cfRule>
    <cfRule type="cellIs" dxfId="276" priority="2" operator="greaterThan">
      <formula>0</formula>
    </cfRule>
  </conditionalFormatting>
  <pageMargins left="0.7" right="0.7" top="0.75" bottom="0.75" header="0.3" footer="0.3"/>
  <pageSetup paperSize="9" orientation="portrait" verticalDpi="30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21"/>
  <sheetViews>
    <sheetView zoomScale="98" zoomScaleNormal="98" workbookViewId="0">
      <selection activeCell="H22" sqref="H22"/>
    </sheetView>
  </sheetViews>
  <sheetFormatPr baseColWidth="10" defaultRowHeight="14.4" x14ac:dyDescent="0.3"/>
  <cols>
    <col min="2" max="2" width="25.77734375" bestFit="1" customWidth="1"/>
    <col min="3" max="3" width="14.44140625" bestFit="1" customWidth="1"/>
    <col min="4" max="4" width="23.77734375" bestFit="1" customWidth="1"/>
    <col min="5" max="5" width="22.21875" bestFit="1" customWidth="1"/>
    <col min="6" max="6" width="26.21875" bestFit="1" customWidth="1"/>
    <col min="7" max="7" width="23.77734375" bestFit="1" customWidth="1"/>
    <col min="8" max="8" width="15.44140625" bestFit="1" customWidth="1"/>
    <col min="9" max="38" width="17.109375" customWidth="1"/>
    <col min="39" max="39" width="18.21875" bestFit="1" customWidth="1"/>
    <col min="40" max="40" width="20.5546875" customWidth="1"/>
  </cols>
  <sheetData>
    <row r="2" spans="1:41" x14ac:dyDescent="0.3">
      <c r="G2" s="57" t="s">
        <v>25</v>
      </c>
      <c r="H2" s="57">
        <v>3.35</v>
      </c>
    </row>
    <row r="3" spans="1:41" ht="15" thickBot="1" x14ac:dyDescent="0.35"/>
    <row r="4" spans="1:41" ht="16.2" thickBot="1" x14ac:dyDescent="0.35">
      <c r="C4" s="23" t="s">
        <v>60</v>
      </c>
      <c r="D4" s="11" t="s">
        <v>0</v>
      </c>
      <c r="E4" s="4" t="s">
        <v>3</v>
      </c>
      <c r="F4" s="7" t="s">
        <v>4</v>
      </c>
      <c r="G4" s="17" t="s">
        <v>27</v>
      </c>
      <c r="H4" s="30" t="s">
        <v>5</v>
      </c>
    </row>
    <row r="5" spans="1:41" ht="29.4" thickBot="1" x14ac:dyDescent="0.35">
      <c r="B5" s="15" t="s">
        <v>1</v>
      </c>
      <c r="C5" s="83" t="s">
        <v>36</v>
      </c>
      <c r="D5" s="9" t="s">
        <v>20</v>
      </c>
      <c r="E5" s="6">
        <v>5040</v>
      </c>
      <c r="F5" s="6"/>
      <c r="G5" s="6">
        <f>(Charge!$G$8+21.82+1154.798+3354)/Mai!H2</f>
        <v>1747.945671641791</v>
      </c>
      <c r="H5" s="25">
        <f>E5-(F5+G5)</f>
        <v>3292.0543283582092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1:41" ht="16.2" thickBot="1" x14ac:dyDescent="0.35">
      <c r="B6" s="131" t="s">
        <v>2</v>
      </c>
      <c r="C6" s="83" t="s">
        <v>36</v>
      </c>
      <c r="D6" s="9" t="s">
        <v>21</v>
      </c>
      <c r="E6" s="6">
        <f>5490+700</f>
        <v>6190</v>
      </c>
      <c r="F6" s="6"/>
      <c r="G6" s="6"/>
      <c r="H6" s="25">
        <f t="shared" ref="H6:H18" si="0">E6-(F6+G6)</f>
        <v>6190</v>
      </c>
    </row>
    <row r="7" spans="1:41" ht="16.2" thickBot="1" x14ac:dyDescent="0.35">
      <c r="B7" s="132"/>
      <c r="C7" s="83" t="s">
        <v>36</v>
      </c>
      <c r="D7" s="9" t="s">
        <v>22</v>
      </c>
      <c r="E7" s="6">
        <f>4250+350</f>
        <v>4600</v>
      </c>
      <c r="F7" s="6"/>
      <c r="G7" s="6"/>
      <c r="H7" s="25">
        <f t="shared" si="0"/>
        <v>4600</v>
      </c>
    </row>
    <row r="8" spans="1:41" ht="16.2" thickBot="1" x14ac:dyDescent="0.35">
      <c r="B8" s="132"/>
      <c r="C8" s="83" t="s">
        <v>36</v>
      </c>
      <c r="D8" s="16" t="s">
        <v>23</v>
      </c>
      <c r="E8" s="6">
        <v>5940</v>
      </c>
      <c r="F8" s="6"/>
      <c r="G8" s="6"/>
      <c r="H8" s="25">
        <f t="shared" si="0"/>
        <v>5940</v>
      </c>
    </row>
    <row r="9" spans="1:41" ht="16.2" thickBot="1" x14ac:dyDescent="0.35">
      <c r="B9" s="132"/>
      <c r="C9" s="83" t="s">
        <v>36</v>
      </c>
      <c r="D9" s="16" t="s">
        <v>29</v>
      </c>
      <c r="E9" s="12">
        <v>2700</v>
      </c>
      <c r="F9" s="6"/>
      <c r="G9" s="6"/>
      <c r="H9" s="25">
        <f t="shared" si="0"/>
        <v>2700</v>
      </c>
    </row>
    <row r="10" spans="1:41" ht="16.2" thickBot="1" x14ac:dyDescent="0.35">
      <c r="B10" s="132"/>
      <c r="C10" s="83" t="s">
        <v>36</v>
      </c>
      <c r="D10" s="9" t="s">
        <v>24</v>
      </c>
      <c r="E10" s="12">
        <v>800</v>
      </c>
      <c r="F10" s="6"/>
      <c r="G10" s="6"/>
      <c r="H10" s="25">
        <f t="shared" si="0"/>
        <v>800</v>
      </c>
    </row>
    <row r="11" spans="1:41" ht="16.2" thickBot="1" x14ac:dyDescent="0.35">
      <c r="B11" s="132"/>
      <c r="C11" s="92" t="s">
        <v>36</v>
      </c>
      <c r="D11" s="31" t="s">
        <v>26</v>
      </c>
      <c r="E11" s="32">
        <v>3960</v>
      </c>
      <c r="F11" s="33">
        <f>22*140</f>
        <v>3080</v>
      </c>
      <c r="G11" s="33"/>
      <c r="H11" s="25">
        <f t="shared" si="0"/>
        <v>880</v>
      </c>
    </row>
    <row r="12" spans="1:41" s="88" customFormat="1" ht="15.6" x14ac:dyDescent="0.3">
      <c r="A12"/>
      <c r="B12"/>
      <c r="C12"/>
      <c r="D12"/>
      <c r="E12"/>
      <c r="F12"/>
      <c r="G12" s="5" t="s">
        <v>62</v>
      </c>
      <c r="H12" s="25">
        <f>SUM(H5:H11)</f>
        <v>24402.054328358208</v>
      </c>
      <c r="I12"/>
      <c r="J12"/>
    </row>
    <row r="13" spans="1:41" s="88" customFormat="1" x14ac:dyDescent="0.3">
      <c r="A13"/>
      <c r="B13"/>
      <c r="C13"/>
      <c r="D13"/>
      <c r="E13"/>
      <c r="F13"/>
      <c r="G13"/>
      <c r="H13"/>
      <c r="I13"/>
      <c r="J13"/>
    </row>
    <row r="14" spans="1:41" ht="29.4" thickBot="1" x14ac:dyDescent="0.35">
      <c r="B14" s="128" t="s">
        <v>1</v>
      </c>
      <c r="C14" s="96" t="s">
        <v>33</v>
      </c>
      <c r="D14" s="97" t="s">
        <v>32</v>
      </c>
      <c r="E14" s="98">
        <v>4830</v>
      </c>
      <c r="F14" s="98"/>
      <c r="G14" s="98">
        <f>(Charge!$G$27+22.901+1224.012+3500)/Mai!H2</f>
        <v>1876.3919402985075</v>
      </c>
      <c r="H14" s="25">
        <f>E14-(F14+G14)</f>
        <v>2953.6080597014925</v>
      </c>
    </row>
    <row r="15" spans="1:41" ht="16.2" thickBot="1" x14ac:dyDescent="0.35">
      <c r="B15" s="132" t="s">
        <v>2</v>
      </c>
      <c r="C15" s="82" t="s">
        <v>33</v>
      </c>
      <c r="D15" s="9" t="s">
        <v>30</v>
      </c>
      <c r="E15" s="6">
        <v>5610</v>
      </c>
      <c r="F15" s="6">
        <f>(22*185)+(22*10)</f>
        <v>4290</v>
      </c>
      <c r="G15" s="6"/>
      <c r="H15" s="25">
        <f t="shared" si="0"/>
        <v>1320</v>
      </c>
    </row>
    <row r="16" spans="1:41" ht="16.2" thickBot="1" x14ac:dyDescent="0.35">
      <c r="B16" s="132"/>
      <c r="C16" s="82" t="s">
        <v>33</v>
      </c>
      <c r="D16" s="9" t="s">
        <v>31</v>
      </c>
      <c r="E16" s="6">
        <f>5890</f>
        <v>5890</v>
      </c>
      <c r="F16" s="6">
        <f>19*200</f>
        <v>3800</v>
      </c>
      <c r="G16" s="6"/>
      <c r="H16" s="25">
        <f t="shared" si="0"/>
        <v>2090</v>
      </c>
    </row>
    <row r="17" spans="2:8" ht="16.2" thickBot="1" x14ac:dyDescent="0.35">
      <c r="B17" s="132"/>
      <c r="C17" s="82" t="s">
        <v>33</v>
      </c>
      <c r="D17" s="9" t="s">
        <v>34</v>
      </c>
      <c r="E17" s="12">
        <f>9000/H2</f>
        <v>2686.5671641791046</v>
      </c>
      <c r="F17" s="6"/>
      <c r="G17" s="6"/>
      <c r="H17" s="25">
        <f t="shared" si="0"/>
        <v>2686.5671641791046</v>
      </c>
    </row>
    <row r="18" spans="2:8" ht="16.2" thickBot="1" x14ac:dyDescent="0.35">
      <c r="B18" s="133"/>
      <c r="C18" s="82" t="s">
        <v>33</v>
      </c>
      <c r="D18" s="31" t="s">
        <v>68</v>
      </c>
      <c r="E18" s="32">
        <f>1500/H2</f>
        <v>447.76119402985074</v>
      </c>
      <c r="F18" s="6"/>
      <c r="G18" s="6"/>
      <c r="H18" s="25">
        <f t="shared" si="0"/>
        <v>447.76119402985074</v>
      </c>
    </row>
    <row r="19" spans="2:8" ht="15.6" x14ac:dyDescent="0.3">
      <c r="G19" s="5" t="s">
        <v>63</v>
      </c>
      <c r="H19" s="51">
        <f>SUM(H14:H18)</f>
        <v>9497.9364179104468</v>
      </c>
    </row>
    <row r="20" spans="2:8" ht="15" thickBot="1" x14ac:dyDescent="0.35"/>
    <row r="21" spans="2:8" ht="15.6" x14ac:dyDescent="0.3">
      <c r="G21" s="5" t="s">
        <v>6</v>
      </c>
      <c r="H21" s="58">
        <f>H12+H19</f>
        <v>33899.990746268653</v>
      </c>
    </row>
  </sheetData>
  <mergeCells count="2">
    <mergeCell ref="B6:B11"/>
    <mergeCell ref="B15:B18"/>
  </mergeCells>
  <conditionalFormatting sqref="H21 H5:H11">
    <cfRule type="cellIs" dxfId="268" priority="63" operator="lessThan">
      <formula>0</formula>
    </cfRule>
    <cfRule type="cellIs" dxfId="267" priority="64" operator="greaterThan">
      <formula>0</formula>
    </cfRule>
  </conditionalFormatting>
  <conditionalFormatting sqref="E5:E8">
    <cfRule type="cellIs" dxfId="266" priority="57" operator="lessThan">
      <formula>0</formula>
    </cfRule>
    <cfRule type="cellIs" dxfId="265" priority="58" operator="greaterThanOrEqual">
      <formula>0</formula>
    </cfRule>
  </conditionalFormatting>
  <conditionalFormatting sqref="G5:G11">
    <cfRule type="cellIs" dxfId="264" priority="43" operator="greaterThanOrEqual">
      <formula>0</formula>
    </cfRule>
    <cfRule type="cellIs" dxfId="263" priority="44" operator="lessThanOrEqual">
      <formula>0</formula>
    </cfRule>
  </conditionalFormatting>
  <conditionalFormatting sqref="F5:F11">
    <cfRule type="cellIs" dxfId="262" priority="41" operator="greaterThanOrEqual">
      <formula>0</formula>
    </cfRule>
    <cfRule type="cellIs" dxfId="261" priority="42" operator="lessThanOrEqual">
      <formula>0</formula>
    </cfRule>
  </conditionalFormatting>
  <conditionalFormatting sqref="E14">
    <cfRule type="cellIs" dxfId="260" priority="37" operator="lessThan">
      <formula>0</formula>
    </cfRule>
    <cfRule type="cellIs" dxfId="259" priority="38" operator="greaterThanOrEqual">
      <formula>0</formula>
    </cfRule>
  </conditionalFormatting>
  <conditionalFormatting sqref="G14">
    <cfRule type="cellIs" dxfId="258" priority="35" operator="greaterThanOrEqual">
      <formula>0</formula>
    </cfRule>
    <cfRule type="cellIs" dxfId="257" priority="36" operator="lessThanOrEqual">
      <formula>0</formula>
    </cfRule>
  </conditionalFormatting>
  <conditionalFormatting sqref="F14">
    <cfRule type="cellIs" dxfId="256" priority="33" operator="greaterThanOrEqual">
      <formula>0</formula>
    </cfRule>
    <cfRule type="cellIs" dxfId="255" priority="34" operator="lessThanOrEqual">
      <formula>0</formula>
    </cfRule>
  </conditionalFormatting>
  <conditionalFormatting sqref="H15:H18">
    <cfRule type="cellIs" dxfId="254" priority="31" operator="lessThan">
      <formula>0</formula>
    </cfRule>
    <cfRule type="cellIs" dxfId="253" priority="32" operator="greaterThan">
      <formula>0</formula>
    </cfRule>
  </conditionalFormatting>
  <conditionalFormatting sqref="E15:E16">
    <cfRule type="cellIs" dxfId="252" priority="29" operator="lessThan">
      <formula>0</formula>
    </cfRule>
    <cfRule type="cellIs" dxfId="251" priority="30" operator="greaterThanOrEqual">
      <formula>0</formula>
    </cfRule>
  </conditionalFormatting>
  <conditionalFormatting sqref="G15:G16">
    <cfRule type="cellIs" dxfId="250" priority="27" operator="greaterThanOrEqual">
      <formula>0</formula>
    </cfRule>
    <cfRule type="cellIs" dxfId="249" priority="28" operator="lessThanOrEqual">
      <formula>0</formula>
    </cfRule>
  </conditionalFormatting>
  <conditionalFormatting sqref="F15:F16">
    <cfRule type="cellIs" dxfId="248" priority="25" operator="greaterThanOrEqual">
      <formula>0</formula>
    </cfRule>
    <cfRule type="cellIs" dxfId="247" priority="26" operator="lessThanOrEqual">
      <formula>0</formula>
    </cfRule>
  </conditionalFormatting>
  <conditionalFormatting sqref="G18">
    <cfRule type="cellIs" dxfId="246" priority="13" operator="greaterThanOrEqual">
      <formula>0</formula>
    </cfRule>
    <cfRule type="cellIs" dxfId="245" priority="14" operator="lessThanOrEqual">
      <formula>0</formula>
    </cfRule>
  </conditionalFormatting>
  <conditionalFormatting sqref="G17">
    <cfRule type="cellIs" dxfId="244" priority="11" operator="greaterThanOrEqual">
      <formula>0</formula>
    </cfRule>
    <cfRule type="cellIs" dxfId="243" priority="12" operator="lessThanOrEqual">
      <formula>0</formula>
    </cfRule>
  </conditionalFormatting>
  <conditionalFormatting sqref="F17">
    <cfRule type="cellIs" dxfId="242" priority="9" operator="greaterThanOrEqual">
      <formula>0</formula>
    </cfRule>
    <cfRule type="cellIs" dxfId="241" priority="10" operator="lessThanOrEqual">
      <formula>0</formula>
    </cfRule>
  </conditionalFormatting>
  <conditionalFormatting sqref="F18">
    <cfRule type="cellIs" dxfId="240" priority="7" operator="greaterThanOrEqual">
      <formula>0</formula>
    </cfRule>
    <cfRule type="cellIs" dxfId="239" priority="8" operator="lessThanOrEqual">
      <formula>0</formula>
    </cfRule>
  </conditionalFormatting>
  <conditionalFormatting sqref="H12">
    <cfRule type="cellIs" dxfId="238" priority="5" operator="lessThan">
      <formula>0</formula>
    </cfRule>
    <cfRule type="cellIs" dxfId="237" priority="6" operator="greaterThan">
      <formula>0</formula>
    </cfRule>
  </conditionalFormatting>
  <conditionalFormatting sqref="H14">
    <cfRule type="cellIs" dxfId="236" priority="3" operator="lessThan">
      <formula>0</formula>
    </cfRule>
    <cfRule type="cellIs" dxfId="235" priority="4" operator="greaterThan">
      <formula>0</formula>
    </cfRule>
  </conditionalFormatting>
  <conditionalFormatting sqref="H19">
    <cfRule type="cellIs" dxfId="234" priority="1" operator="lessThan">
      <formula>0</formula>
    </cfRule>
    <cfRule type="cellIs" dxfId="233" priority="2" operator="greaterThan">
      <formula>0</formula>
    </cfRule>
  </conditionalFormatting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21"/>
  <sheetViews>
    <sheetView zoomScale="89" zoomScaleNormal="89" workbookViewId="0">
      <selection activeCell="H22" sqref="H22"/>
    </sheetView>
  </sheetViews>
  <sheetFormatPr baseColWidth="10" defaultRowHeight="14.4" x14ac:dyDescent="0.3"/>
  <cols>
    <col min="2" max="2" width="25.77734375" bestFit="1" customWidth="1"/>
    <col min="3" max="3" width="14.21875" bestFit="1" customWidth="1"/>
    <col min="4" max="4" width="23.33203125" bestFit="1" customWidth="1"/>
    <col min="5" max="5" width="21.77734375" bestFit="1" customWidth="1"/>
    <col min="6" max="6" width="26.5546875" bestFit="1" customWidth="1"/>
    <col min="7" max="7" width="23.33203125" bestFit="1" customWidth="1"/>
    <col min="8" max="8" width="15.21875" bestFit="1" customWidth="1"/>
    <col min="9" max="38" width="17.109375" customWidth="1"/>
    <col min="39" max="39" width="18.21875" bestFit="1" customWidth="1"/>
    <col min="40" max="40" width="20.5546875" customWidth="1"/>
  </cols>
  <sheetData>
    <row r="2" spans="1:41" x14ac:dyDescent="0.3">
      <c r="G2" s="57" t="s">
        <v>25</v>
      </c>
      <c r="H2" s="57">
        <v>3.35</v>
      </c>
    </row>
    <row r="3" spans="1:41" ht="15" thickBot="1" x14ac:dyDescent="0.35"/>
    <row r="4" spans="1:41" ht="16.2" thickBot="1" x14ac:dyDescent="0.35">
      <c r="C4" s="23" t="s">
        <v>60</v>
      </c>
      <c r="D4" s="3" t="s">
        <v>0</v>
      </c>
      <c r="E4" s="4" t="s">
        <v>3</v>
      </c>
      <c r="F4" s="7" t="s">
        <v>4</v>
      </c>
      <c r="G4" s="17" t="s">
        <v>27</v>
      </c>
      <c r="H4" s="30" t="s">
        <v>5</v>
      </c>
    </row>
    <row r="5" spans="1:41" ht="29.4" thickBot="1" x14ac:dyDescent="0.35">
      <c r="B5" s="15" t="s">
        <v>1</v>
      </c>
      <c r="C5" s="83" t="s">
        <v>36</v>
      </c>
      <c r="D5" s="9" t="s">
        <v>20</v>
      </c>
      <c r="E5" s="6">
        <v>4560</v>
      </c>
      <c r="F5" s="6"/>
      <c r="G5" s="6">
        <f>(Charge!$H$8+21.82+1154.798+3354)/Juin!H2</f>
        <v>1747.945671641791</v>
      </c>
      <c r="H5" s="25">
        <f>E5-(F5+G5)</f>
        <v>2812.0543283582092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1:41" ht="16.2" thickBot="1" x14ac:dyDescent="0.35">
      <c r="B6" s="131" t="s">
        <v>2</v>
      </c>
      <c r="C6" s="83" t="s">
        <v>36</v>
      </c>
      <c r="D6" s="9" t="s">
        <v>21</v>
      </c>
      <c r="E6" s="6">
        <f>5642.5+350</f>
        <v>5992.5</v>
      </c>
      <c r="F6" s="6"/>
      <c r="G6" s="6"/>
      <c r="H6" s="25">
        <f t="shared" ref="H6:H15" si="0">E6-(F6+G6)</f>
        <v>5992.5</v>
      </c>
    </row>
    <row r="7" spans="1:41" ht="16.2" thickBot="1" x14ac:dyDescent="0.35">
      <c r="B7" s="132"/>
      <c r="C7" s="83" t="s">
        <v>36</v>
      </c>
      <c r="D7" s="9" t="s">
        <v>22</v>
      </c>
      <c r="E7" s="6">
        <f>4625+700</f>
        <v>5325</v>
      </c>
      <c r="F7" s="6"/>
      <c r="G7" s="6"/>
      <c r="H7" s="25">
        <f t="shared" si="0"/>
        <v>5325</v>
      </c>
    </row>
    <row r="8" spans="1:41" ht="16.2" thickBot="1" x14ac:dyDescent="0.35">
      <c r="B8" s="132"/>
      <c r="C8" s="83" t="s">
        <v>36</v>
      </c>
      <c r="D8" s="16" t="s">
        <v>23</v>
      </c>
      <c r="E8" s="6">
        <v>5130</v>
      </c>
      <c r="F8" s="6"/>
      <c r="G8" s="6"/>
      <c r="H8" s="25">
        <f t="shared" si="0"/>
        <v>5130</v>
      </c>
    </row>
    <row r="9" spans="1:41" ht="16.2" thickBot="1" x14ac:dyDescent="0.35">
      <c r="B9" s="132"/>
      <c r="C9" s="83" t="s">
        <v>36</v>
      </c>
      <c r="D9" s="16" t="s">
        <v>29</v>
      </c>
      <c r="E9" s="6">
        <v>2970</v>
      </c>
      <c r="F9" s="6"/>
      <c r="G9" s="6"/>
      <c r="H9" s="25">
        <f t="shared" si="0"/>
        <v>2970</v>
      </c>
    </row>
    <row r="10" spans="1:41" ht="16.2" thickBot="1" x14ac:dyDescent="0.35">
      <c r="B10" s="132"/>
      <c r="C10" s="83" t="s">
        <v>36</v>
      </c>
      <c r="D10" s="9" t="s">
        <v>24</v>
      </c>
      <c r="E10" s="12">
        <v>1000</v>
      </c>
      <c r="F10" s="6"/>
      <c r="G10" s="6"/>
      <c r="H10" s="25">
        <f t="shared" si="0"/>
        <v>1000</v>
      </c>
    </row>
    <row r="11" spans="1:41" ht="16.2" thickBot="1" x14ac:dyDescent="0.35">
      <c r="B11" s="132"/>
      <c r="C11" s="92" t="s">
        <v>36</v>
      </c>
      <c r="D11" s="31" t="s">
        <v>26</v>
      </c>
      <c r="E11" s="32">
        <v>3600</v>
      </c>
      <c r="F11" s="33">
        <f>20*140</f>
        <v>2800</v>
      </c>
      <c r="G11" s="33"/>
      <c r="H11" s="25">
        <f t="shared" si="0"/>
        <v>800</v>
      </c>
    </row>
    <row r="12" spans="1:41" s="113" customFormat="1" ht="15.6" x14ac:dyDescent="0.3">
      <c r="A12"/>
      <c r="B12"/>
      <c r="C12"/>
      <c r="D12"/>
      <c r="E12"/>
      <c r="F12"/>
      <c r="G12" s="5" t="s">
        <v>62</v>
      </c>
      <c r="H12" s="25">
        <f>SUM(H5:H11)</f>
        <v>24029.554328358208</v>
      </c>
    </row>
    <row r="13" spans="1:41" s="88" customFormat="1" x14ac:dyDescent="0.3">
      <c r="A13"/>
      <c r="B13"/>
      <c r="C13"/>
      <c r="D13"/>
      <c r="E13"/>
      <c r="F13" s="119"/>
      <c r="G13" s="119"/>
      <c r="H13" s="119"/>
    </row>
    <row r="14" spans="1:41" ht="29.4" thickBot="1" x14ac:dyDescent="0.35">
      <c r="B14" s="128" t="s">
        <v>1</v>
      </c>
      <c r="C14" s="96" t="s">
        <v>33</v>
      </c>
      <c r="D14" s="97" t="s">
        <v>32</v>
      </c>
      <c r="E14" s="98">
        <v>4370</v>
      </c>
      <c r="F14" s="98"/>
      <c r="G14" s="98">
        <f>(Charge!$H$27+24.012+1295.124+3650)/Juin!H2</f>
        <v>1942.7271641791046</v>
      </c>
      <c r="H14" s="25">
        <f>E14-(F14+G14)</f>
        <v>2427.2728358208951</v>
      </c>
    </row>
    <row r="15" spans="1:41" ht="29.4" thickBot="1" x14ac:dyDescent="0.35">
      <c r="B15" s="85" t="s">
        <v>2</v>
      </c>
      <c r="C15" s="82" t="s">
        <v>33</v>
      </c>
      <c r="D15" s="9" t="s">
        <v>30</v>
      </c>
      <c r="E15" s="6">
        <v>3825</v>
      </c>
      <c r="F15" s="6">
        <f>(15*185)+(15*10)</f>
        <v>2925</v>
      </c>
      <c r="G15" s="6"/>
      <c r="H15" s="25">
        <f t="shared" si="0"/>
        <v>900</v>
      </c>
    </row>
    <row r="16" spans="1:41" ht="29.4" thickBot="1" x14ac:dyDescent="0.35">
      <c r="B16" s="86"/>
      <c r="C16" s="82" t="s">
        <v>33</v>
      </c>
      <c r="D16" s="9" t="s">
        <v>31</v>
      </c>
      <c r="E16" s="6">
        <f>6200</f>
        <v>6200</v>
      </c>
      <c r="F16" s="6">
        <f>20*200</f>
        <v>4000</v>
      </c>
      <c r="G16" s="6"/>
      <c r="H16" s="25">
        <f>E16-(F16+G16)</f>
        <v>2200</v>
      </c>
    </row>
    <row r="17" spans="2:8" ht="29.4" thickBot="1" x14ac:dyDescent="0.35">
      <c r="B17" s="86"/>
      <c r="C17" s="82" t="s">
        <v>33</v>
      </c>
      <c r="D17" s="9" t="s">
        <v>34</v>
      </c>
      <c r="E17" s="6">
        <f>9000/H2</f>
        <v>2686.5671641791046</v>
      </c>
      <c r="F17" s="6"/>
      <c r="G17" s="6"/>
      <c r="H17" s="25">
        <f t="shared" ref="H17:H18" si="1">E17-(F17+G17)</f>
        <v>2686.5671641791046</v>
      </c>
    </row>
    <row r="18" spans="2:8" ht="29.4" thickBot="1" x14ac:dyDescent="0.35">
      <c r="B18" s="87"/>
      <c r="C18" s="82" t="s">
        <v>33</v>
      </c>
      <c r="D18" s="31" t="s">
        <v>68</v>
      </c>
      <c r="E18" s="6">
        <f>1500/H2</f>
        <v>447.76119402985074</v>
      </c>
      <c r="F18" s="6"/>
      <c r="G18" s="6"/>
      <c r="H18" s="25">
        <f t="shared" si="1"/>
        <v>447.76119402985074</v>
      </c>
    </row>
    <row r="19" spans="2:8" ht="15.6" x14ac:dyDescent="0.3">
      <c r="G19" s="5" t="s">
        <v>63</v>
      </c>
      <c r="H19" s="51">
        <f>SUM(H14:H18)</f>
        <v>8661.6011940298504</v>
      </c>
    </row>
    <row r="20" spans="2:8" ht="15" thickBot="1" x14ac:dyDescent="0.35"/>
    <row r="21" spans="2:8" ht="15.6" x14ac:dyDescent="0.3">
      <c r="G21" s="5" t="s">
        <v>6</v>
      </c>
      <c r="H21" s="58">
        <f>H12+H19</f>
        <v>32691.155522388057</v>
      </c>
    </row>
  </sheetData>
  <mergeCells count="1">
    <mergeCell ref="B6:B11"/>
  </mergeCells>
  <conditionalFormatting sqref="H21 H5:H12">
    <cfRule type="cellIs" dxfId="225" priority="73" operator="lessThan">
      <formula>0</formula>
    </cfRule>
    <cfRule type="cellIs" dxfId="224" priority="74" operator="greaterThan">
      <formula>0</formula>
    </cfRule>
  </conditionalFormatting>
  <conditionalFormatting sqref="E5:E9">
    <cfRule type="cellIs" dxfId="223" priority="69" operator="lessThan">
      <formula>0</formula>
    </cfRule>
    <cfRule type="cellIs" dxfId="222" priority="70" operator="greaterThanOrEqual">
      <formula>0</formula>
    </cfRule>
  </conditionalFormatting>
  <conditionalFormatting sqref="G5:G11">
    <cfRule type="cellIs" dxfId="221" priority="47" operator="greaterThanOrEqual">
      <formula>0</formula>
    </cfRule>
    <cfRule type="cellIs" dxfId="220" priority="48" operator="lessThanOrEqual">
      <formula>0</formula>
    </cfRule>
  </conditionalFormatting>
  <conditionalFormatting sqref="F5:F11">
    <cfRule type="cellIs" dxfId="219" priority="45" operator="greaterThanOrEqual">
      <formula>0</formula>
    </cfRule>
    <cfRule type="cellIs" dxfId="218" priority="46" operator="lessThanOrEqual">
      <formula>0</formula>
    </cfRule>
  </conditionalFormatting>
  <conditionalFormatting sqref="E14">
    <cfRule type="cellIs" dxfId="217" priority="41" operator="lessThan">
      <formula>0</formula>
    </cfRule>
    <cfRule type="cellIs" dxfId="216" priority="42" operator="greaterThanOrEqual">
      <formula>0</formula>
    </cfRule>
  </conditionalFormatting>
  <conditionalFormatting sqref="G14">
    <cfRule type="cellIs" dxfId="215" priority="39" operator="greaterThanOrEqual">
      <formula>0</formula>
    </cfRule>
    <cfRule type="cellIs" dxfId="214" priority="40" operator="lessThanOrEqual">
      <formula>0</formula>
    </cfRule>
  </conditionalFormatting>
  <conditionalFormatting sqref="F14">
    <cfRule type="cellIs" dxfId="213" priority="37" operator="greaterThanOrEqual">
      <formula>0</formula>
    </cfRule>
    <cfRule type="cellIs" dxfId="212" priority="38" operator="lessThanOrEqual">
      <formula>0</formula>
    </cfRule>
  </conditionalFormatting>
  <conditionalFormatting sqref="H15:H18">
    <cfRule type="cellIs" dxfId="211" priority="35" operator="lessThan">
      <formula>0</formula>
    </cfRule>
    <cfRule type="cellIs" dxfId="210" priority="36" operator="greaterThan">
      <formula>0</formula>
    </cfRule>
  </conditionalFormatting>
  <conditionalFormatting sqref="E15:E16">
    <cfRule type="cellIs" dxfId="209" priority="33" operator="lessThan">
      <formula>0</formula>
    </cfRule>
    <cfRule type="cellIs" dxfId="208" priority="34" operator="greaterThanOrEqual">
      <formula>0</formula>
    </cfRule>
  </conditionalFormatting>
  <conditionalFormatting sqref="G15:G16">
    <cfRule type="cellIs" dxfId="207" priority="31" operator="greaterThanOrEqual">
      <formula>0</formula>
    </cfRule>
    <cfRule type="cellIs" dxfId="206" priority="32" operator="lessThanOrEqual">
      <formula>0</formula>
    </cfRule>
  </conditionalFormatting>
  <conditionalFormatting sqref="F15:F16">
    <cfRule type="cellIs" dxfId="205" priority="29" operator="greaterThanOrEqual">
      <formula>0</formula>
    </cfRule>
    <cfRule type="cellIs" dxfId="204" priority="30" operator="lessThanOrEqual">
      <formula>0</formula>
    </cfRule>
  </conditionalFormatting>
  <conditionalFormatting sqref="E17">
    <cfRule type="cellIs" dxfId="203" priority="15" operator="lessThan">
      <formula>0</formula>
    </cfRule>
    <cfRule type="cellIs" dxfId="202" priority="16" operator="greaterThanOrEqual">
      <formula>0</formula>
    </cfRule>
  </conditionalFormatting>
  <conditionalFormatting sqref="E18">
    <cfRule type="cellIs" dxfId="201" priority="13" operator="lessThan">
      <formula>0</formula>
    </cfRule>
    <cfRule type="cellIs" dxfId="200" priority="14" operator="greaterThanOrEqual">
      <formula>0</formula>
    </cfRule>
  </conditionalFormatting>
  <conditionalFormatting sqref="G17">
    <cfRule type="cellIs" dxfId="199" priority="11" operator="greaterThanOrEqual">
      <formula>0</formula>
    </cfRule>
    <cfRule type="cellIs" dxfId="198" priority="12" operator="lessThanOrEqual">
      <formula>0</formula>
    </cfRule>
  </conditionalFormatting>
  <conditionalFormatting sqref="F17">
    <cfRule type="cellIs" dxfId="197" priority="9" operator="greaterThanOrEqual">
      <formula>0</formula>
    </cfRule>
    <cfRule type="cellIs" dxfId="196" priority="10" operator="lessThanOrEqual">
      <formula>0</formula>
    </cfRule>
  </conditionalFormatting>
  <conditionalFormatting sqref="G18">
    <cfRule type="cellIs" dxfId="195" priority="7" operator="greaterThanOrEqual">
      <formula>0</formula>
    </cfRule>
    <cfRule type="cellIs" dxfId="194" priority="8" operator="lessThanOrEqual">
      <formula>0</formula>
    </cfRule>
  </conditionalFormatting>
  <conditionalFormatting sqref="F18">
    <cfRule type="cellIs" dxfId="193" priority="5" operator="greaterThanOrEqual">
      <formula>0</formula>
    </cfRule>
    <cfRule type="cellIs" dxfId="192" priority="6" operator="lessThanOrEqual">
      <formula>0</formula>
    </cfRule>
  </conditionalFormatting>
  <conditionalFormatting sqref="H19">
    <cfRule type="cellIs" dxfId="191" priority="1" operator="lessThan">
      <formula>0</formula>
    </cfRule>
    <cfRule type="cellIs" dxfId="190" priority="2" operator="greaterThan">
      <formula>0</formula>
    </cfRule>
  </conditionalFormatting>
  <conditionalFormatting sqref="H14">
    <cfRule type="cellIs" dxfId="189" priority="3" operator="lessThan">
      <formula>0</formula>
    </cfRule>
    <cfRule type="cellIs" dxfId="188" priority="4" operator="greaterThan">
      <formula>0</formula>
    </cfRule>
  </conditionalFormatting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23"/>
  <sheetViews>
    <sheetView zoomScale="96" zoomScaleNormal="96" workbookViewId="0">
      <selection activeCell="H24" sqref="H24"/>
    </sheetView>
  </sheetViews>
  <sheetFormatPr baseColWidth="10" defaultRowHeight="14.4" x14ac:dyDescent="0.3"/>
  <cols>
    <col min="2" max="2" width="25.77734375" bestFit="1" customWidth="1"/>
    <col min="3" max="3" width="14.5546875" bestFit="1" customWidth="1"/>
    <col min="4" max="4" width="23.6640625" bestFit="1" customWidth="1"/>
    <col min="5" max="5" width="21.88671875" bestFit="1" customWidth="1"/>
    <col min="6" max="6" width="25.6640625" bestFit="1" customWidth="1"/>
    <col min="7" max="7" width="24" bestFit="1" customWidth="1"/>
    <col min="8" max="8" width="15.21875" bestFit="1" customWidth="1"/>
    <col min="9" max="15" width="17.109375" customWidth="1"/>
    <col min="16" max="16" width="18.21875" bestFit="1" customWidth="1"/>
    <col min="17" max="17" width="20.5546875" customWidth="1"/>
  </cols>
  <sheetData>
    <row r="3" spans="2:18" x14ac:dyDescent="0.3">
      <c r="G3" s="57" t="s">
        <v>25</v>
      </c>
      <c r="H3" s="57">
        <v>3.35</v>
      </c>
    </row>
    <row r="4" spans="2:18" ht="15" thickBot="1" x14ac:dyDescent="0.35"/>
    <row r="5" spans="2:18" ht="16.2" thickBot="1" x14ac:dyDescent="0.35">
      <c r="C5" s="23" t="s">
        <v>60</v>
      </c>
      <c r="D5" s="11" t="s">
        <v>0</v>
      </c>
      <c r="E5" s="19" t="s">
        <v>3</v>
      </c>
      <c r="F5" s="20" t="s">
        <v>4</v>
      </c>
      <c r="G5" s="21" t="s">
        <v>27</v>
      </c>
      <c r="H5" s="24" t="s">
        <v>5</v>
      </c>
    </row>
    <row r="6" spans="2:18" ht="29.4" thickBot="1" x14ac:dyDescent="0.35">
      <c r="B6" s="15" t="s">
        <v>1</v>
      </c>
      <c r="C6" s="83" t="s">
        <v>36</v>
      </c>
      <c r="D6" s="9" t="s">
        <v>20</v>
      </c>
      <c r="E6" s="6">
        <v>4080</v>
      </c>
      <c r="F6" s="6"/>
      <c r="G6" s="6">
        <f>(Charge!$I$8+21.82+1154.798+3354)/Juillet!H3</f>
        <v>1743.4680597014926</v>
      </c>
      <c r="H6" s="25">
        <f>E6-(F6+G6)</f>
        <v>2336.5319402985074</v>
      </c>
      <c r="I6" s="1"/>
      <c r="J6" s="1"/>
      <c r="K6" s="1"/>
      <c r="L6" s="1"/>
      <c r="M6" s="1"/>
      <c r="N6" s="1"/>
      <c r="O6" s="1"/>
      <c r="P6" s="1"/>
      <c r="Q6" s="1"/>
      <c r="R6" s="1"/>
    </row>
    <row r="7" spans="2:18" ht="16.2" customHeight="1" thickBot="1" x14ac:dyDescent="0.35">
      <c r="B7" s="131" t="s">
        <v>2</v>
      </c>
      <c r="C7" s="83" t="s">
        <v>36</v>
      </c>
      <c r="D7" s="9" t="s">
        <v>22</v>
      </c>
      <c r="E7" s="6">
        <f>5250+350</f>
        <v>5600</v>
      </c>
      <c r="F7" s="6"/>
      <c r="G7" s="6"/>
      <c r="H7" s="25">
        <f t="shared" ref="H7:H19" si="0">E7-(F7+G7)</f>
        <v>5600</v>
      </c>
    </row>
    <row r="8" spans="2:18" ht="16.2" customHeight="1" thickBot="1" x14ac:dyDescent="0.35">
      <c r="B8" s="132"/>
      <c r="C8" s="83" t="s">
        <v>36</v>
      </c>
      <c r="D8" s="16" t="s">
        <v>23</v>
      </c>
      <c r="E8" s="6">
        <v>5805</v>
      </c>
      <c r="F8" s="6"/>
      <c r="G8" s="6"/>
      <c r="H8" s="25">
        <f t="shared" si="0"/>
        <v>5805</v>
      </c>
    </row>
    <row r="9" spans="2:18" ht="16.2" customHeight="1" thickBot="1" x14ac:dyDescent="0.35">
      <c r="B9" s="132"/>
      <c r="C9" s="83" t="s">
        <v>36</v>
      </c>
      <c r="D9" s="16" t="s">
        <v>29</v>
      </c>
      <c r="E9" s="12">
        <v>2970</v>
      </c>
      <c r="F9" s="6"/>
      <c r="G9" s="6"/>
      <c r="H9" s="25">
        <f t="shared" si="0"/>
        <v>2970</v>
      </c>
    </row>
    <row r="10" spans="2:18" ht="16.2" customHeight="1" thickBot="1" x14ac:dyDescent="0.35">
      <c r="B10" s="132"/>
      <c r="C10" s="83" t="s">
        <v>36</v>
      </c>
      <c r="D10" s="9" t="s">
        <v>24</v>
      </c>
      <c r="E10" s="12">
        <v>500</v>
      </c>
      <c r="F10" s="6"/>
      <c r="G10" s="6"/>
      <c r="H10" s="25">
        <f t="shared" si="0"/>
        <v>500</v>
      </c>
    </row>
    <row r="11" spans="2:18" ht="16.2" customHeight="1" thickBot="1" x14ac:dyDescent="0.35">
      <c r="B11" s="132"/>
      <c r="C11" s="83" t="s">
        <v>36</v>
      </c>
      <c r="D11" s="9" t="s">
        <v>26</v>
      </c>
      <c r="E11" s="12">
        <v>2700</v>
      </c>
      <c r="F11" s="6">
        <f>140*15</f>
        <v>2100</v>
      </c>
      <c r="G11" s="6"/>
      <c r="H11" s="25">
        <f>E11-(F11+G11)</f>
        <v>600</v>
      </c>
    </row>
    <row r="12" spans="2:18" ht="16.2" customHeight="1" thickBot="1" x14ac:dyDescent="0.35">
      <c r="B12" s="132"/>
      <c r="C12" s="92" t="s">
        <v>36</v>
      </c>
      <c r="D12" s="31" t="s">
        <v>28</v>
      </c>
      <c r="E12" s="32">
        <v>6670</v>
      </c>
      <c r="F12" s="33">
        <f>30*23</f>
        <v>690</v>
      </c>
      <c r="G12" s="127"/>
      <c r="H12" s="25">
        <f t="shared" si="0"/>
        <v>5980</v>
      </c>
    </row>
    <row r="13" spans="2:18" s="91" customFormat="1" ht="16.2" customHeight="1" x14ac:dyDescent="0.3">
      <c r="B13" s="117"/>
      <c r="C13" s="122"/>
      <c r="D13" s="118"/>
      <c r="E13" s="126"/>
      <c r="F13" s="126"/>
      <c r="G13" s="5" t="s">
        <v>62</v>
      </c>
      <c r="H13" s="25">
        <f>SUM(H6:H12)</f>
        <v>23791.531940298508</v>
      </c>
    </row>
    <row r="14" spans="2:18" s="91" customFormat="1" ht="16.2" customHeight="1" thickBot="1" x14ac:dyDescent="0.35">
      <c r="B14" s="107"/>
      <c r="C14" s="122"/>
      <c r="D14" s="118"/>
      <c r="E14" s="129"/>
      <c r="F14" s="119"/>
      <c r="G14" s="130"/>
      <c r="H14" s="119"/>
    </row>
    <row r="15" spans="2:18" ht="29.4" thickBot="1" x14ac:dyDescent="0.35">
      <c r="B15" s="15" t="s">
        <v>1</v>
      </c>
      <c r="C15" s="96" t="s">
        <v>37</v>
      </c>
      <c r="D15" s="97" t="s">
        <v>32</v>
      </c>
      <c r="E15" s="98">
        <v>4140</v>
      </c>
      <c r="F15" s="98"/>
      <c r="G15" s="98">
        <f>(Charge!$I$27+22.901+1224.012+3500)/H3</f>
        <v>1633.1083582089552</v>
      </c>
      <c r="H15" s="100">
        <f>E15-(F15+G15)</f>
        <v>2506.891641791045</v>
      </c>
    </row>
    <row r="16" spans="2:18" ht="16.2" thickBot="1" x14ac:dyDescent="0.35">
      <c r="B16" s="131" t="s">
        <v>2</v>
      </c>
      <c r="C16" s="82" t="s">
        <v>37</v>
      </c>
      <c r="D16" s="9" t="s">
        <v>30</v>
      </c>
      <c r="E16" s="6">
        <v>3825</v>
      </c>
      <c r="F16" s="6">
        <f>(15*185)+(15*10)</f>
        <v>2925</v>
      </c>
      <c r="G16" s="6"/>
      <c r="H16" s="25">
        <f t="shared" si="0"/>
        <v>900</v>
      </c>
    </row>
    <row r="17" spans="2:8" ht="16.2" thickBot="1" x14ac:dyDescent="0.35">
      <c r="B17" s="132"/>
      <c r="C17" s="82" t="s">
        <v>37</v>
      </c>
      <c r="D17" s="9" t="s">
        <v>31</v>
      </c>
      <c r="E17" s="6">
        <f>7130</f>
        <v>7130</v>
      </c>
      <c r="F17" s="6">
        <f>23*200</f>
        <v>4600</v>
      </c>
      <c r="G17" s="6"/>
      <c r="H17" s="25">
        <f>E17-(F17+G17)</f>
        <v>2530</v>
      </c>
    </row>
    <row r="18" spans="2:8" ht="16.2" thickBot="1" x14ac:dyDescent="0.35">
      <c r="B18" s="132"/>
      <c r="C18" s="82" t="s">
        <v>37</v>
      </c>
      <c r="D18" s="31" t="s">
        <v>28</v>
      </c>
      <c r="E18" s="32"/>
      <c r="F18" s="6">
        <f>170*23</f>
        <v>3910</v>
      </c>
      <c r="G18" s="33"/>
      <c r="H18" s="25">
        <f t="shared" si="0"/>
        <v>-3910</v>
      </c>
    </row>
    <row r="19" spans="2:8" ht="16.2" thickBot="1" x14ac:dyDescent="0.35">
      <c r="B19" s="132"/>
      <c r="C19" s="82" t="s">
        <v>37</v>
      </c>
      <c r="D19" s="9" t="s">
        <v>34</v>
      </c>
      <c r="E19" s="12">
        <f>9000/H3</f>
        <v>2686.5671641791046</v>
      </c>
      <c r="F19" s="6"/>
      <c r="G19" s="6"/>
      <c r="H19" s="25">
        <f t="shared" si="0"/>
        <v>2686.5671641791046</v>
      </c>
    </row>
    <row r="20" spans="2:8" ht="16.2" thickBot="1" x14ac:dyDescent="0.35">
      <c r="B20" s="133"/>
      <c r="C20" s="82" t="s">
        <v>37</v>
      </c>
      <c r="D20" s="31" t="s">
        <v>68</v>
      </c>
      <c r="E20" s="32">
        <f>1500/H3</f>
        <v>447.76119402985074</v>
      </c>
      <c r="F20" s="6"/>
      <c r="G20" s="6"/>
      <c r="H20" s="25">
        <f>E20-(F20+G20)</f>
        <v>447.76119402985074</v>
      </c>
    </row>
    <row r="21" spans="2:8" ht="15.6" x14ac:dyDescent="0.3">
      <c r="G21" s="5" t="s">
        <v>63</v>
      </c>
      <c r="H21" s="51">
        <f>SUM(H15:H20)</f>
        <v>5161.22</v>
      </c>
    </row>
    <row r="22" spans="2:8" ht="15" thickBot="1" x14ac:dyDescent="0.35"/>
    <row r="23" spans="2:8" ht="15.6" x14ac:dyDescent="0.3">
      <c r="G23" s="5" t="s">
        <v>6</v>
      </c>
      <c r="H23" s="58">
        <f>H13+H21</f>
        <v>28952.751940298509</v>
      </c>
    </row>
  </sheetData>
  <mergeCells count="2">
    <mergeCell ref="B16:B20"/>
    <mergeCell ref="B7:B12"/>
  </mergeCells>
  <conditionalFormatting sqref="H23 H6:H11">
    <cfRule type="cellIs" dxfId="179" priority="63" operator="lessThan">
      <formula>0</formula>
    </cfRule>
    <cfRule type="cellIs" dxfId="178" priority="64" operator="greaterThan">
      <formula>0</formula>
    </cfRule>
  </conditionalFormatting>
  <conditionalFormatting sqref="E6:E8">
    <cfRule type="cellIs" dxfId="177" priority="59" operator="lessThan">
      <formula>0</formula>
    </cfRule>
    <cfRule type="cellIs" dxfId="176" priority="60" operator="greaterThanOrEqual">
      <formula>0</formula>
    </cfRule>
  </conditionalFormatting>
  <conditionalFormatting sqref="F6:G6 F7:F12 G7:G11">
    <cfRule type="cellIs" dxfId="175" priority="53" operator="greaterThanOrEqual">
      <formula>0</formula>
    </cfRule>
    <cfRule type="cellIs" dxfId="174" priority="54" operator="lessThanOrEqual">
      <formula>0</formula>
    </cfRule>
  </conditionalFormatting>
  <conditionalFormatting sqref="H16:H20">
    <cfRule type="cellIs" dxfId="173" priority="43" operator="lessThan">
      <formula>0</formula>
    </cfRule>
    <cfRule type="cellIs" dxfId="172" priority="44" operator="greaterThan">
      <formula>0</formula>
    </cfRule>
  </conditionalFormatting>
  <conditionalFormatting sqref="E16:E17">
    <cfRule type="cellIs" dxfId="171" priority="41" operator="lessThan">
      <formula>0</formula>
    </cfRule>
    <cfRule type="cellIs" dxfId="170" priority="42" operator="greaterThanOrEqual">
      <formula>0</formula>
    </cfRule>
  </conditionalFormatting>
  <conditionalFormatting sqref="F16:G17">
    <cfRule type="cellIs" dxfId="169" priority="39" operator="greaterThanOrEqual">
      <formula>0</formula>
    </cfRule>
    <cfRule type="cellIs" dxfId="168" priority="40" operator="lessThanOrEqual">
      <formula>0</formula>
    </cfRule>
  </conditionalFormatting>
  <conditionalFormatting sqref="H15">
    <cfRule type="cellIs" dxfId="167" priority="37" operator="lessThan">
      <formula>0</formula>
    </cfRule>
    <cfRule type="cellIs" dxfId="166" priority="38" operator="greaterThan">
      <formula>0</formula>
    </cfRule>
  </conditionalFormatting>
  <conditionalFormatting sqref="E15">
    <cfRule type="cellIs" dxfId="165" priority="35" operator="lessThan">
      <formula>0</formula>
    </cfRule>
    <cfRule type="cellIs" dxfId="164" priority="36" operator="greaterThanOrEqual">
      <formula>0</formula>
    </cfRule>
  </conditionalFormatting>
  <conditionalFormatting sqref="F15:G15">
    <cfRule type="cellIs" dxfId="163" priority="33" operator="greaterThanOrEqual">
      <formula>0</formula>
    </cfRule>
    <cfRule type="cellIs" dxfId="162" priority="34" operator="lessThanOrEqual">
      <formula>0</formula>
    </cfRule>
  </conditionalFormatting>
  <conditionalFormatting sqref="F18">
    <cfRule type="cellIs" dxfId="161" priority="25" operator="greaterThanOrEqual">
      <formula>0</formula>
    </cfRule>
    <cfRule type="cellIs" dxfId="160" priority="26" operator="lessThanOrEqual">
      <formula>0</formula>
    </cfRule>
  </conditionalFormatting>
  <conditionalFormatting sqref="G18">
    <cfRule type="cellIs" dxfId="159" priority="19" operator="greaterThanOrEqual">
      <formula>0</formula>
    </cfRule>
    <cfRule type="cellIs" dxfId="158" priority="20" operator="lessThanOrEqual">
      <formula>0</formula>
    </cfRule>
  </conditionalFormatting>
  <conditionalFormatting sqref="F19">
    <cfRule type="cellIs" dxfId="157" priority="13" operator="greaterThanOrEqual">
      <formula>0</formula>
    </cfRule>
    <cfRule type="cellIs" dxfId="156" priority="14" operator="lessThanOrEqual">
      <formula>0</formula>
    </cfRule>
  </conditionalFormatting>
  <conditionalFormatting sqref="F20">
    <cfRule type="cellIs" dxfId="155" priority="11" operator="greaterThanOrEqual">
      <formula>0</formula>
    </cfRule>
    <cfRule type="cellIs" dxfId="154" priority="12" operator="lessThanOrEqual">
      <formula>0</formula>
    </cfRule>
  </conditionalFormatting>
  <conditionalFormatting sqref="G19">
    <cfRule type="cellIs" dxfId="153" priority="9" operator="greaterThanOrEqual">
      <formula>0</formula>
    </cfRule>
    <cfRule type="cellIs" dxfId="152" priority="10" operator="lessThanOrEqual">
      <formula>0</formula>
    </cfRule>
  </conditionalFormatting>
  <conditionalFormatting sqref="G20">
    <cfRule type="cellIs" dxfId="151" priority="7" operator="greaterThanOrEqual">
      <formula>0</formula>
    </cfRule>
    <cfRule type="cellIs" dxfId="150" priority="8" operator="lessThanOrEqual">
      <formula>0</formula>
    </cfRule>
  </conditionalFormatting>
  <conditionalFormatting sqref="H12">
    <cfRule type="cellIs" dxfId="149" priority="5" operator="lessThan">
      <formula>0</formula>
    </cfRule>
    <cfRule type="cellIs" dxfId="148" priority="6" operator="greaterThan">
      <formula>0</formula>
    </cfRule>
  </conditionalFormatting>
  <conditionalFormatting sqref="H13">
    <cfRule type="cellIs" dxfId="147" priority="3" operator="lessThan">
      <formula>0</formula>
    </cfRule>
    <cfRule type="cellIs" dxfId="146" priority="4" operator="greaterThan">
      <formula>0</formula>
    </cfRule>
  </conditionalFormatting>
  <conditionalFormatting sqref="H21">
    <cfRule type="cellIs" dxfId="145" priority="1" operator="lessThan">
      <formula>0</formula>
    </cfRule>
    <cfRule type="cellIs" dxfId="144" priority="2" operator="greaterThan">
      <formula>0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Repartition des sociétés</vt:lpstr>
      <vt:lpstr>Synthèse 2024</vt:lpstr>
      <vt:lpstr>Janvier</vt:lpstr>
      <vt:lpstr>Février</vt:lpstr>
      <vt:lpstr>Mars</vt:lpstr>
      <vt:lpstr>Avril</vt:lpstr>
      <vt:lpstr>Mai</vt:lpstr>
      <vt:lpstr>Juin</vt:lpstr>
      <vt:lpstr>Juillet</vt:lpstr>
      <vt:lpstr>Aout</vt:lpstr>
      <vt:lpstr>Septembre</vt:lpstr>
      <vt:lpstr>Ocotbre</vt:lpstr>
      <vt:lpstr>Novembre</vt:lpstr>
      <vt:lpstr>Décembre</vt:lpstr>
      <vt:lpstr>Charge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Sadok</dc:creator>
  <cp:lastModifiedBy>EzeeGen</cp:lastModifiedBy>
  <dcterms:created xsi:type="dcterms:W3CDTF">2023-04-04T13:02:14Z</dcterms:created>
  <dcterms:modified xsi:type="dcterms:W3CDTF">2025-03-09T22:50:32Z</dcterms:modified>
</cp:coreProperties>
</file>