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2\STC\Chelcy GOLALI -14-02-2025\"/>
    </mc:Choice>
  </mc:AlternateContent>
  <bookViews>
    <workbookView xWindow="-110" yWindow="-110" windowWidth="23260" windowHeight="14860" activeTab="4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'2023'!$B$15</definedName>
    <definedName name="CRA_ASTREINTE" localSheetId="1">'2024'!$B$16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'2023'!$B$17</definedName>
    <definedName name="ENTREES" localSheetId="1">'2024'!$B$18</definedName>
    <definedName name="ENTREES" localSheetId="2">'2025'!$B$17</definedName>
    <definedName name="ENTREES">#REF!</definedName>
    <definedName name="ENTREES_ASTREINTE" localSheetId="0">'2023'!$B$19</definedName>
    <definedName name="ENTREES_ASTREINTE" localSheetId="1">'2024'!$B$20</definedName>
    <definedName name="ENTREES_ASTREINTE" localSheetId="2">'2025'!$B$19</definedName>
    <definedName name="ENTREES_ASTREINTE">#REF!</definedName>
    <definedName name="ENTREES_FACTURE" localSheetId="0">'2023'!$B$18</definedName>
    <definedName name="ENTREES_FACTURE" localSheetId="1">'2024'!$B$19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'2024'!$B$32</definedName>
    <definedName name="FRAIS_KM" localSheetId="2">'2025'!$B$31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'2024'!$B$31</definedName>
    <definedName name="NOMBRE_KM" localSheetId="2">'2025'!$B$30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'2024'!$B$29</definedName>
    <definedName name="SOLDE" localSheetId="2">'2025'!$B$28</definedName>
    <definedName name="SORTIES" localSheetId="0">'2023'!$B$22</definedName>
    <definedName name="SORTIES" localSheetId="1">'2024'!$B$23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'2023'!$B$24</definedName>
    <definedName name="SORTIES_CHARGES_SOCIALES_PATRONALES" localSheetId="1">'2024'!$B$25</definedName>
    <definedName name="SORTIES_CHARGES_SOCIALES_PATRONALES" localSheetId="2">'2025'!$B$24</definedName>
    <definedName name="SORTIES_CHARGES_SOCIALES_PATRONALES">#REF!</definedName>
    <definedName name="SORTIES_FRAIS_KM" localSheetId="0">'2023'!$B$25</definedName>
    <definedName name="SORTIES_FRAIS_KM" localSheetId="1">'2024'!$B$26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'2023'!$B$23</definedName>
    <definedName name="SORTIES_SALAIRE_NET" localSheetId="1">'2024'!$B$24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'2023'!$B$20</definedName>
    <definedName name="TOTAL_ENTREES" localSheetId="1">'2024'!$B$21</definedName>
    <definedName name="TOTAL_ENTREES" localSheetId="2">'2025'!$B$20</definedName>
    <definedName name="TOTAL_ENTREES">#REF!</definedName>
    <definedName name="TOTAL_SORTIES" localSheetId="0">'2023'!$B$26</definedName>
    <definedName name="TOTAL_SORTIES" localSheetId="1">'2024'!$B$27</definedName>
    <definedName name="TOTAL_SORTIES" localSheetId="2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4" i="16" l="1"/>
  <c r="D18" i="16" l="1"/>
  <c r="P31" i="16" l="1"/>
  <c r="P30" i="16"/>
  <c r="P33" i="16" s="1"/>
  <c r="L26" i="16"/>
  <c r="K26" i="16"/>
  <c r="J26" i="16"/>
  <c r="I26" i="16"/>
  <c r="D26" i="16"/>
  <c r="P25" i="16"/>
  <c r="N26" i="16"/>
  <c r="M26" i="16"/>
  <c r="H26" i="16"/>
  <c r="G26" i="16"/>
  <c r="F26" i="16"/>
  <c r="E26" i="16"/>
  <c r="P23" i="16"/>
  <c r="E20" i="16"/>
  <c r="E28" i="16" s="1"/>
  <c r="P19" i="16"/>
  <c r="N20" i="16"/>
  <c r="M20" i="16"/>
  <c r="L20" i="16"/>
  <c r="L28" i="16" s="1"/>
  <c r="K20" i="16"/>
  <c r="K28" i="16" s="1"/>
  <c r="J20" i="16"/>
  <c r="I20" i="16"/>
  <c r="H20" i="16"/>
  <c r="G20" i="16"/>
  <c r="F20" i="16"/>
  <c r="D20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7" i="14"/>
  <c r="P14" i="15"/>
  <c r="P32" i="15"/>
  <c r="P31" i="15"/>
  <c r="P34" i="15" s="1"/>
  <c r="P35" i="15" s="1"/>
  <c r="K27" i="15"/>
  <c r="P26" i="15"/>
  <c r="N25" i="15"/>
  <c r="N27" i="15" s="1"/>
  <c r="M25" i="15"/>
  <c r="M27" i="15" s="1"/>
  <c r="L25" i="15"/>
  <c r="L27" i="15" s="1"/>
  <c r="K25" i="15"/>
  <c r="J25" i="15"/>
  <c r="J27" i="15" s="1"/>
  <c r="I25" i="15"/>
  <c r="I27" i="15" s="1"/>
  <c r="H25" i="15"/>
  <c r="H27" i="15" s="1"/>
  <c r="G25" i="15"/>
  <c r="F25" i="15"/>
  <c r="F27" i="15" s="1"/>
  <c r="E25" i="15"/>
  <c r="E27" i="15" s="1"/>
  <c r="D25" i="15"/>
  <c r="D27" i="15" s="1"/>
  <c r="C25" i="15"/>
  <c r="C27" i="15" s="1"/>
  <c r="P24" i="15"/>
  <c r="P20" i="15"/>
  <c r="N19" i="15"/>
  <c r="N21" i="15" s="1"/>
  <c r="N29" i="15" s="1"/>
  <c r="M19" i="15"/>
  <c r="M21" i="15" s="1"/>
  <c r="L19" i="15"/>
  <c r="L21" i="15" s="1"/>
  <c r="K19" i="15"/>
  <c r="K21" i="15" s="1"/>
  <c r="J19" i="15"/>
  <c r="J21" i="15" s="1"/>
  <c r="I19" i="15"/>
  <c r="I21" i="15" s="1"/>
  <c r="H19" i="15"/>
  <c r="H21" i="15" s="1"/>
  <c r="G19" i="15"/>
  <c r="G21" i="15" s="1"/>
  <c r="F19" i="15"/>
  <c r="F21" i="15" s="1"/>
  <c r="F29" i="15" s="1"/>
  <c r="E19" i="15"/>
  <c r="E21" i="15" s="1"/>
  <c r="D19" i="15"/>
  <c r="D21" i="15" s="1"/>
  <c r="C19" i="15"/>
  <c r="C21" i="15" s="1"/>
  <c r="P16" i="15"/>
  <c r="P15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6" i="14"/>
  <c r="M26" i="14"/>
  <c r="F26" i="14"/>
  <c r="E26" i="14"/>
  <c r="D26" i="14"/>
  <c r="C26" i="14"/>
  <c r="P25" i="14"/>
  <c r="N24" i="14"/>
  <c r="M24" i="14"/>
  <c r="L24" i="14"/>
  <c r="L26" i="14" s="1"/>
  <c r="K24" i="14"/>
  <c r="K26" i="14" s="1"/>
  <c r="J24" i="14"/>
  <c r="J26" i="14" s="1"/>
  <c r="I24" i="14"/>
  <c r="I26" i="14" s="1"/>
  <c r="H24" i="14"/>
  <c r="H26" i="14" s="1"/>
  <c r="G24" i="14"/>
  <c r="G26" i="14" s="1"/>
  <c r="F24" i="14"/>
  <c r="E24" i="14"/>
  <c r="D24" i="14"/>
  <c r="P23" i="14"/>
  <c r="J20" i="14"/>
  <c r="I20" i="14"/>
  <c r="I28" i="14" s="1"/>
  <c r="H20" i="14"/>
  <c r="H28" i="14" s="1"/>
  <c r="C20" i="14"/>
  <c r="P19" i="14"/>
  <c r="N18" i="14"/>
  <c r="N20" i="14" s="1"/>
  <c r="N28" i="14" s="1"/>
  <c r="M18" i="14"/>
  <c r="M20" i="14" s="1"/>
  <c r="L18" i="14"/>
  <c r="L20" i="14" s="1"/>
  <c r="K18" i="14"/>
  <c r="K20" i="14" s="1"/>
  <c r="J18" i="14"/>
  <c r="I18" i="14"/>
  <c r="H18" i="14"/>
  <c r="G18" i="14"/>
  <c r="G20" i="14" s="1"/>
  <c r="G28" i="14" s="1"/>
  <c r="F18" i="14"/>
  <c r="F20" i="14" s="1"/>
  <c r="F28" i="14" s="1"/>
  <c r="E18" i="14"/>
  <c r="E20" i="14" s="1"/>
  <c r="D18" i="14"/>
  <c r="D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6" i="14"/>
  <c r="K28" i="14" l="1"/>
  <c r="C4" i="13"/>
  <c r="C28" i="14"/>
  <c r="P24" i="14"/>
  <c r="I29" i="15"/>
  <c r="L28" i="14"/>
  <c r="P26" i="14"/>
  <c r="M29" i="15"/>
  <c r="P8" i="14"/>
  <c r="E28" i="14"/>
  <c r="M28" i="14"/>
  <c r="J28" i="14"/>
  <c r="P34" i="16"/>
  <c r="D28" i="16"/>
  <c r="F28" i="16"/>
  <c r="G28" i="16"/>
  <c r="H28" i="16"/>
  <c r="I28" i="16"/>
  <c r="J28" i="16"/>
  <c r="P8" i="16"/>
  <c r="M28" i="16"/>
  <c r="N28" i="16"/>
  <c r="K29" i="15"/>
  <c r="P8" i="15"/>
  <c r="D29" i="15"/>
  <c r="L29" i="15"/>
  <c r="P25" i="15"/>
  <c r="E29" i="15"/>
  <c r="J29" i="15"/>
  <c r="C29" i="15"/>
  <c r="P21" i="15"/>
  <c r="H29" i="15"/>
  <c r="P20" i="14"/>
  <c r="D28" i="14"/>
  <c r="P28" i="14" s="1"/>
  <c r="P18" i="14"/>
  <c r="P19" i="15"/>
  <c r="G27" i="15"/>
  <c r="G29" i="15" s="1"/>
  <c r="P29" i="15" l="1"/>
  <c r="P27" i="15"/>
  <c r="C24" i="16"/>
  <c r="C18" i="16"/>
  <c r="C20" i="16" l="1"/>
  <c r="P18" i="16"/>
  <c r="C26" i="16"/>
  <c r="P26" i="16" s="1"/>
  <c r="P24" i="16"/>
  <c r="C28" i="16" l="1"/>
  <c r="P28" i="16" s="1"/>
  <c r="C3" i="13" s="1"/>
  <c r="P20" i="16"/>
</calcChain>
</file>

<file path=xl/comments1.xml><?xml version="1.0" encoding="utf-8"?>
<comments xmlns="http://schemas.openxmlformats.org/spreadsheetml/2006/main">
  <authors>
    <author>PC-HOUDA</author>
  </authors>
  <commentList>
    <comment ref="K14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spliter le congé sur octobre novembre décembre </t>
        </r>
      </text>
    </comment>
  </commentList>
</comments>
</file>

<file path=xl/sharedStrings.xml><?xml version="1.0" encoding="utf-8"?>
<sst xmlns="http://schemas.openxmlformats.org/spreadsheetml/2006/main" count="123" uniqueCount="46">
  <si>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</si>
  <si>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</si>
  <si>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</si>
  <si>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</si>
  <si>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</si>
  <si>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</si>
  <si>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</si>
  <si>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</si>
  <si>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</si>
  <si>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</si>
  <si>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</si>
  <si>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</si>
  <si>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</si>
  <si>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</si>
  <si>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</si>
  <si>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</si>
  <si>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</si>
  <si>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</si>
  <si>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</si>
  <si>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</si>
  <si>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</si>
  <si>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</si>
  <si>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</si>
  <si>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</si>
  <si>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</si>
  <si>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</si>
  <si>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</si>
  <si>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</si>
  <si>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</si>
  <si>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</si>
  <si>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</si>
  <si>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</si>
  <si>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</si>
  <si>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</si>
  <si>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</si>
  <si>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</si>
  <si>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</si>
  <si>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</si>
  <si>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</si>
  <si>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</si>
  <si>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</si>
  <si>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</si>
  <si>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</si>
  <si>
    <t>Frais KM annuel à payer</t>
  </si>
  <si>
    <t>Régularisation Frais KM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</si>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</sst>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0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10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11" borderId="1" xfId="0" applyFont="1" applyFill="1" applyBorder="1"/>
    <xf numFmtId="4" fontId="0" fillId="11" borderId="1" xfId="0" applyNumberFormat="1" applyFill="1" applyBorder="1"/>
    <xf numFmtId="4" fontId="1" fillId="12" borderId="1" xfId="0" applyNumberFormat="1" applyFont="1" applyFill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zoomScale="85" zoomScaleNormal="85" workbookViewId="0">
      <selection activeCell="P36" sqref="P36"/>
    </sheetView>
  </sheetViews>
  <sheetFormatPr baseColWidth="10" defaultRowHeight="14.5" x14ac:dyDescent="0.35"/>
  <cols>
    <col min="1" max="1" width="3" customWidth="1"/>
    <col min="2" max="2" width="28" customWidth="1"/>
    <col min="14" max="14" width="18.90625" bestFit="1" customWidth="1"/>
    <col min="15" max="15" width="4" customWidth="1"/>
    <col min="16" max="16" width="11" style="46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/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</v>
      </c>
      <c r="O6" s="36"/>
      <c r="P6" s="55">
        <f>SUM(C6:N6)</f>
        <v>201</v>
      </c>
    </row>
    <row r="7" spans="2:16" x14ac:dyDescent="0.35">
      <c r="B7" s="9" t="s">
        <v>21</v>
      </c>
      <c r="C7" s="37"/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13</v>
      </c>
      <c r="K7" s="37">
        <v>16</v>
      </c>
      <c r="L7" s="37">
        <v>12</v>
      </c>
      <c r="M7" s="37">
        <v>21</v>
      </c>
      <c r="N7" s="37">
        <v>16</v>
      </c>
      <c r="O7" s="36"/>
      <c r="P7" s="55">
        <f>SUM(C7:N7)</f>
        <v>201</v>
      </c>
    </row>
    <row r="8" spans="2:16" x14ac:dyDescent="0.35">
      <c r="B8" s="18" t="s">
        <v>22</v>
      </c>
      <c r="C8" s="60">
        <f t="shared" ref="C8:N8" si="0">C7-C6</f>
        <v>0</v>
      </c>
      <c r="D8" s="60">
        <f t="shared" si="0"/>
        <v>0</v>
      </c>
      <c r="E8" s="60">
        <f t="shared" si="0"/>
        <v>3</v>
      </c>
      <c r="F8" s="60">
        <f t="shared" si="0"/>
        <v>-1</v>
      </c>
      <c r="G8" s="60">
        <f t="shared" si="0"/>
        <v>-1</v>
      </c>
      <c r="H8" s="60">
        <f t="shared" si="0"/>
        <v>2</v>
      </c>
      <c r="I8" s="60">
        <f t="shared" si="0"/>
        <v>0</v>
      </c>
      <c r="J8" s="60">
        <f t="shared" si="0"/>
        <v>-7</v>
      </c>
      <c r="K8" s="60">
        <f t="shared" si="0"/>
        <v>-4</v>
      </c>
      <c r="L8" s="60">
        <f t="shared" si="0"/>
        <v>-8</v>
      </c>
      <c r="M8" s="60">
        <f t="shared" si="0"/>
        <v>1</v>
      </c>
      <c r="N8" s="60">
        <f t="shared" si="0"/>
        <v>15</v>
      </c>
      <c r="O8" s="36"/>
      <c r="P8" s="55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/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13</v>
      </c>
      <c r="K11" s="11">
        <v>16</v>
      </c>
      <c r="L11" s="11">
        <v>12</v>
      </c>
      <c r="M11" s="11">
        <v>21</v>
      </c>
      <c r="N11" s="11">
        <v>16</v>
      </c>
      <c r="P11" s="56">
        <f>SUM(C11:N11)</f>
        <v>201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9</v>
      </c>
      <c r="K12" s="12">
        <v>5</v>
      </c>
      <c r="L12" s="12">
        <v>0</v>
      </c>
      <c r="M12" s="12"/>
      <c r="N12" s="12">
        <v>0</v>
      </c>
      <c r="P12" s="56">
        <f>SUM(C12:N12)</f>
        <v>14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6</v>
      </c>
      <c r="M13" s="12"/>
      <c r="N13" s="12">
        <v>4</v>
      </c>
      <c r="P13" s="56">
        <f>SUM(C13:N13)</f>
        <v>10</v>
      </c>
    </row>
    <row r="14" spans="2:16" x14ac:dyDescent="0.35">
      <c r="B14" s="61" t="s">
        <v>42</v>
      </c>
      <c r="C14" s="62"/>
      <c r="D14" s="62"/>
      <c r="E14" s="62"/>
      <c r="F14" s="62"/>
      <c r="G14" s="62"/>
      <c r="H14" s="62"/>
      <c r="I14" s="62"/>
      <c r="J14" s="62"/>
      <c r="K14" s="62"/>
      <c r="L14" s="62">
        <v>4</v>
      </c>
      <c r="M14" s="62"/>
      <c r="N14" s="62"/>
      <c r="P14" s="56">
        <f>SUM(C14:N14)</f>
        <v>4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5">
      <c r="B18" s="9" t="s">
        <v>6</v>
      </c>
      <c r="C18" s="10"/>
      <c r="D18" s="10">
        <f>D11*Params!$C$5*(1-Params!$C$3)-Params!$C$4</f>
        <v>9769</v>
      </c>
      <c r="E18" s="10">
        <f>E11*Params!$C$5*(1-Params!$C$3)-Params!$C$4</f>
        <v>11245.6</v>
      </c>
      <c r="F18" s="10">
        <f>F11*Params!$C$5*(1-Params!$C$3)-Params!$C$4</f>
        <v>9276.8000000000011</v>
      </c>
      <c r="G18" s="10">
        <f>G11*Params!$C$5*(1-Params!$C$3)-Params!$C$4</f>
        <v>9276.8000000000011</v>
      </c>
      <c r="H18" s="10">
        <f>H11*Params!$C$5*(1-Params!$C$3)-Params!$C$4</f>
        <v>10753.4</v>
      </c>
      <c r="I18" s="10">
        <f>I11*Params!$C$5*(1-Params!$C$3)-Params!$C$4</f>
        <v>9769</v>
      </c>
      <c r="J18" s="10">
        <f>J11*Params!$C$5*(1-Params!$C$3)-Params!$C$4</f>
        <v>6323.6</v>
      </c>
      <c r="K18" s="10">
        <f>K11*Params!$C$5*(1-Params!$C$3)-Params!$C$4</f>
        <v>7800.2000000000007</v>
      </c>
      <c r="L18" s="10">
        <f>L11*Params!$C$5*(1-Params!$C$3)-Params!$C$4</f>
        <v>5831.4000000000005</v>
      </c>
      <c r="M18" s="10">
        <f>M11*Params!$C$5*(1-Params!$C$3)-Params!$C$4</f>
        <v>10261.200000000001</v>
      </c>
      <c r="N18" s="10">
        <f>N11*Params!$C$5*(1-Params!$C$3)-Params!$C$4</f>
        <v>7800.2000000000007</v>
      </c>
      <c r="O18" s="4"/>
      <c r="P18" s="41">
        <f>SUM(C18:N18)</f>
        <v>98107.199999999997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1">SUM(C18:C19)</f>
        <v>0</v>
      </c>
      <c r="D20" s="28">
        <f t="shared" si="1"/>
        <v>9769</v>
      </c>
      <c r="E20" s="28">
        <f t="shared" si="1"/>
        <v>11245.6</v>
      </c>
      <c r="F20" s="28">
        <f t="shared" si="1"/>
        <v>9276.8000000000011</v>
      </c>
      <c r="G20" s="28">
        <f t="shared" si="1"/>
        <v>9276.8000000000011</v>
      </c>
      <c r="H20" s="28">
        <f t="shared" si="1"/>
        <v>10753.4</v>
      </c>
      <c r="I20" s="28">
        <f t="shared" si="1"/>
        <v>9769</v>
      </c>
      <c r="J20" s="28">
        <f t="shared" si="1"/>
        <v>6323.6</v>
      </c>
      <c r="K20" s="28">
        <f t="shared" si="1"/>
        <v>7800.2000000000007</v>
      </c>
      <c r="L20" s="28">
        <f t="shared" si="1"/>
        <v>5831.4000000000005</v>
      </c>
      <c r="M20" s="28">
        <f t="shared" si="1"/>
        <v>10261.200000000001</v>
      </c>
      <c r="N20" s="28">
        <f t="shared" si="1"/>
        <v>7800.2000000000007</v>
      </c>
      <c r="O20" s="5"/>
      <c r="P20" s="42">
        <f>SUM(C20:N20)</f>
        <v>98107.199999999997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1"/>
    </row>
    <row r="23" spans="2:16" x14ac:dyDescent="0.35">
      <c r="B23" s="9" t="s">
        <v>7</v>
      </c>
      <c r="C23" s="10"/>
      <c r="D23" s="10">
        <v>5662.7</v>
      </c>
      <c r="E23" s="10">
        <v>5662.7</v>
      </c>
      <c r="F23" s="10">
        <v>5662.7</v>
      </c>
      <c r="G23" s="10">
        <v>5662.7</v>
      </c>
      <c r="H23" s="10">
        <v>5662.7</v>
      </c>
      <c r="I23" s="10">
        <v>5662.7</v>
      </c>
      <c r="J23" s="10">
        <v>5662.7</v>
      </c>
      <c r="K23" s="10">
        <v>5662.7</v>
      </c>
      <c r="L23" s="10">
        <v>4231.5600000000004</v>
      </c>
      <c r="M23" s="10">
        <v>5662.7</v>
      </c>
      <c r="N23" s="10">
        <v>4443.84</v>
      </c>
      <c r="O23" s="4"/>
      <c r="P23" s="43">
        <f>SUM(C23:N23)</f>
        <v>59639.699999999983</v>
      </c>
    </row>
    <row r="24" spans="2:16" x14ac:dyDescent="0.35">
      <c r="B24" s="9" t="s">
        <v>8</v>
      </c>
      <c r="C24" s="10"/>
      <c r="D24" s="10">
        <f>1163.79+2321.1</f>
        <v>3484.89</v>
      </c>
      <c r="E24" s="10">
        <f>1163.79+2321.1</f>
        <v>3484.89</v>
      </c>
      <c r="F24" s="10">
        <f>1163.79+2321.1</f>
        <v>3484.89</v>
      </c>
      <c r="G24" s="10">
        <f>1163.79+2323.94</f>
        <v>3487.73</v>
      </c>
      <c r="H24" s="10">
        <f>1163.79+2322.52</f>
        <v>3486.31</v>
      </c>
      <c r="I24" s="10">
        <f>1163.79+2322.52</f>
        <v>3486.31</v>
      </c>
      <c r="J24" s="10">
        <f>1163.79+2322.52</f>
        <v>3486.31</v>
      </c>
      <c r="K24" s="10">
        <f>1163.79+2346.19</f>
        <v>3509.98</v>
      </c>
      <c r="L24" s="10">
        <f>878.02+1761.53</f>
        <v>2639.55</v>
      </c>
      <c r="M24" s="10">
        <f>1163.79+2322.52</f>
        <v>3486.31</v>
      </c>
      <c r="N24" s="10">
        <f>939.42+1839.46</f>
        <v>2778.88</v>
      </c>
      <c r="O24" s="4"/>
      <c r="P24" s="43">
        <f>SUM(C24:N24)</f>
        <v>36816.049999999996</v>
      </c>
    </row>
    <row r="25" spans="2:16" x14ac:dyDescent="0.35">
      <c r="B25" s="53" t="s">
        <v>40</v>
      </c>
      <c r="C25" s="10"/>
      <c r="D25" s="10">
        <v>597</v>
      </c>
      <c r="E25" s="10">
        <v>671.55</v>
      </c>
      <c r="F25" s="10">
        <v>597.41999999999996</v>
      </c>
      <c r="G25" s="10">
        <v>597.41999999999996</v>
      </c>
      <c r="H25" s="10">
        <v>675.96</v>
      </c>
      <c r="I25" s="10">
        <v>623.6</v>
      </c>
      <c r="J25" s="10">
        <v>440.34</v>
      </c>
      <c r="K25" s="10">
        <v>518.88</v>
      </c>
      <c r="L25" s="10">
        <v>414.16</v>
      </c>
      <c r="M25" s="10">
        <v>649.78</v>
      </c>
      <c r="N25" s="10">
        <v>649.78</v>
      </c>
      <c r="O25" s="4"/>
      <c r="P25" s="43">
        <f>SUM(C25:N25)</f>
        <v>6435.8899999999994</v>
      </c>
    </row>
    <row r="26" spans="2:16" x14ac:dyDescent="0.35">
      <c r="B26" s="8" t="s">
        <v>3</v>
      </c>
      <c r="C26" s="44">
        <f t="shared" ref="C26:N26" si="2">SUM(C23:C25)</f>
        <v>0</v>
      </c>
      <c r="D26" s="44">
        <f t="shared" si="2"/>
        <v>9744.59</v>
      </c>
      <c r="E26" s="44">
        <f t="shared" si="2"/>
        <v>9819.14</v>
      </c>
      <c r="F26" s="44">
        <f t="shared" si="2"/>
        <v>9745.01</v>
      </c>
      <c r="G26" s="44">
        <f t="shared" si="2"/>
        <v>9747.85</v>
      </c>
      <c r="H26" s="44">
        <f t="shared" si="2"/>
        <v>9824.9700000000012</v>
      </c>
      <c r="I26" s="44">
        <f t="shared" si="2"/>
        <v>9772.61</v>
      </c>
      <c r="J26" s="44">
        <f t="shared" si="2"/>
        <v>9589.35</v>
      </c>
      <c r="K26" s="44">
        <f t="shared" si="2"/>
        <v>9691.56</v>
      </c>
      <c r="L26" s="44">
        <f t="shared" si="2"/>
        <v>7285.27</v>
      </c>
      <c r="M26" s="44">
        <f t="shared" si="2"/>
        <v>9798.7900000000009</v>
      </c>
      <c r="N26" s="44">
        <f t="shared" si="2"/>
        <v>7872.5</v>
      </c>
      <c r="O26" s="4"/>
      <c r="P26" s="57">
        <f>SUM(C26:N26)</f>
        <v>102891.64000000001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68" t="s">
        <v>36</v>
      </c>
      <c r="C28" s="69">
        <f t="shared" ref="C28:N28" si="3">C20-C26</f>
        <v>0</v>
      </c>
      <c r="D28" s="69">
        <f t="shared" si="3"/>
        <v>24.409999999999854</v>
      </c>
      <c r="E28" s="69">
        <f t="shared" si="3"/>
        <v>1426.4600000000009</v>
      </c>
      <c r="F28" s="69">
        <f t="shared" si="3"/>
        <v>-468.20999999999913</v>
      </c>
      <c r="G28" s="69">
        <f t="shared" si="3"/>
        <v>-471.04999999999927</v>
      </c>
      <c r="H28" s="69">
        <f t="shared" si="3"/>
        <v>928.42999999999847</v>
      </c>
      <c r="I28" s="69">
        <f t="shared" si="3"/>
        <v>-3.6100000000005821</v>
      </c>
      <c r="J28" s="69">
        <f t="shared" si="3"/>
        <v>-3265.75</v>
      </c>
      <c r="K28" s="69">
        <f t="shared" si="3"/>
        <v>-1891.3599999999988</v>
      </c>
      <c r="L28" s="69">
        <f t="shared" si="3"/>
        <v>-1453.87</v>
      </c>
      <c r="M28" s="69">
        <f t="shared" si="3"/>
        <v>462.40999999999985</v>
      </c>
      <c r="N28" s="69">
        <f t="shared" si="3"/>
        <v>-72.299999999999272</v>
      </c>
      <c r="P28" s="70">
        <f>SUM(C28:N28)</f>
        <v>-4784.4399999999978</v>
      </c>
    </row>
    <row r="30" spans="2:16" x14ac:dyDescent="0.35">
      <c r="B30" s="59" t="s">
        <v>37</v>
      </c>
      <c r="C30" s="52"/>
      <c r="D30" s="52">
        <v>1400</v>
      </c>
      <c r="E30" s="52">
        <v>1610</v>
      </c>
      <c r="F30" s="52">
        <v>1330</v>
      </c>
      <c r="G30" s="52">
        <v>1330</v>
      </c>
      <c r="H30" s="52">
        <v>1540</v>
      </c>
      <c r="I30" s="52">
        <v>1400</v>
      </c>
      <c r="J30" s="52">
        <v>910</v>
      </c>
      <c r="K30" s="52">
        <v>1120</v>
      </c>
      <c r="L30" s="52">
        <v>840</v>
      </c>
      <c r="M30" s="52">
        <v>1470</v>
      </c>
      <c r="N30" s="52">
        <v>1120</v>
      </c>
      <c r="P30" s="58">
        <f>SUM(C30:N30)</f>
        <v>14070</v>
      </c>
    </row>
    <row r="31" spans="2:16" x14ac:dyDescent="0.35">
      <c r="B31" s="59" t="s">
        <v>38</v>
      </c>
      <c r="C31" s="52"/>
      <c r="D31" s="52">
        <v>597</v>
      </c>
      <c r="E31" s="52">
        <v>671.55</v>
      </c>
      <c r="F31" s="52">
        <v>597.41999999999996</v>
      </c>
      <c r="G31" s="52">
        <v>597.41999999999996</v>
      </c>
      <c r="H31" s="52">
        <v>675.96</v>
      </c>
      <c r="I31" s="52">
        <v>623.6</v>
      </c>
      <c r="J31" s="52">
        <v>440.34</v>
      </c>
      <c r="K31" s="52">
        <v>518.88</v>
      </c>
      <c r="L31" s="52">
        <v>414.16</v>
      </c>
      <c r="M31" s="52">
        <v>649.78</v>
      </c>
      <c r="N31" s="52">
        <v>649.78</v>
      </c>
      <c r="P31" s="58">
        <f>SUM(C31:N31)</f>
        <v>6435.8899999999994</v>
      </c>
    </row>
    <row r="33" spans="16:16" x14ac:dyDescent="0.35">
      <c r="P33"/>
    </row>
    <row r="34" spans="16:16" x14ac:dyDescent="0.3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5"/>
  <sheetViews>
    <sheetView zoomScale="85" zoomScaleNormal="85" workbookViewId="0">
      <selection activeCell="R11" sqref="R11"/>
    </sheetView>
  </sheetViews>
  <sheetFormatPr baseColWidth="10" defaultRowHeight="14.5" x14ac:dyDescent="0.35"/>
  <cols>
    <col min="1" max="1" width="3" customWidth="1"/>
    <col min="2" max="2" width="28" customWidth="1"/>
    <col min="14" max="14" width="20.1796875" bestFit="1" customWidth="1"/>
    <col min="15" max="15" width="4" customWidth="1"/>
    <col min="16" max="16" width="11" style="46" customWidth="1"/>
  </cols>
  <sheetData>
    <row r="1" spans="2:18" x14ac:dyDescent="0.35">
      <c r="B1" s="63" t="s">
        <v>9</v>
      </c>
    </row>
    <row r="2" spans="2:18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8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8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8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8" x14ac:dyDescent="0.35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13</v>
      </c>
      <c r="O6" s="36"/>
      <c r="P6" s="55">
        <f>SUM(C6:N6)</f>
        <v>233</v>
      </c>
    </row>
    <row r="7" spans="2:18" x14ac:dyDescent="0.35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20</v>
      </c>
      <c r="J7" s="37">
        <v>21</v>
      </c>
      <c r="K7" s="37">
        <v>6</v>
      </c>
      <c r="L7" s="37">
        <v>23</v>
      </c>
      <c r="M7" s="37">
        <v>19</v>
      </c>
      <c r="N7" s="37">
        <v>15</v>
      </c>
      <c r="O7" s="36"/>
      <c r="P7" s="55">
        <f>SUM(C7:N7)</f>
        <v>227</v>
      </c>
    </row>
    <row r="8" spans="2:18" x14ac:dyDescent="0.35">
      <c r="B8" s="18" t="s">
        <v>22</v>
      </c>
      <c r="C8" s="60">
        <f t="shared" ref="C8:N8" si="0">C7-C6</f>
        <v>2</v>
      </c>
      <c r="D8" s="60">
        <f t="shared" si="0"/>
        <v>1</v>
      </c>
      <c r="E8" s="60">
        <f t="shared" si="0"/>
        <v>1</v>
      </c>
      <c r="F8" s="60">
        <f t="shared" si="0"/>
        <v>1</v>
      </c>
      <c r="G8" s="60">
        <f t="shared" si="0"/>
        <v>-2</v>
      </c>
      <c r="H8" s="60">
        <f t="shared" si="0"/>
        <v>0</v>
      </c>
      <c r="I8" s="60">
        <f t="shared" si="0"/>
        <v>0</v>
      </c>
      <c r="J8" s="60">
        <f t="shared" si="0"/>
        <v>1</v>
      </c>
      <c r="K8" s="60">
        <f t="shared" si="0"/>
        <v>-14</v>
      </c>
      <c r="L8" s="60">
        <f t="shared" si="0"/>
        <v>3</v>
      </c>
      <c r="M8" s="60">
        <f t="shared" si="0"/>
        <v>-1</v>
      </c>
      <c r="N8" s="60">
        <f t="shared" si="0"/>
        <v>2</v>
      </c>
      <c r="O8" s="36"/>
      <c r="P8" s="55">
        <f>SUM(C8:N8)</f>
        <v>-6</v>
      </c>
    </row>
    <row r="9" spans="2:18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8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8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18</v>
      </c>
      <c r="H11" s="11">
        <v>20</v>
      </c>
      <c r="I11" s="11">
        <v>20</v>
      </c>
      <c r="J11" s="11">
        <v>21</v>
      </c>
      <c r="K11" s="11">
        <v>6</v>
      </c>
      <c r="L11" s="11">
        <v>23</v>
      </c>
      <c r="M11" s="11">
        <v>19</v>
      </c>
      <c r="N11" s="11">
        <v>15</v>
      </c>
      <c r="P11" s="56">
        <f t="shared" ref="P11:P16" si="1">SUM(C11:N11)</f>
        <v>227</v>
      </c>
      <c r="R11" s="71"/>
    </row>
    <row r="12" spans="2:18" x14ac:dyDescent="0.35">
      <c r="B12" s="9" t="s">
        <v>16</v>
      </c>
      <c r="C12" s="12"/>
      <c r="D12" s="12"/>
      <c r="E12" s="12"/>
      <c r="F12" s="12"/>
      <c r="G12" s="12">
        <v>1</v>
      </c>
      <c r="H12" s="12"/>
      <c r="I12" s="12">
        <v>3</v>
      </c>
      <c r="J12" s="12"/>
      <c r="K12" s="12">
        <v>6</v>
      </c>
      <c r="L12" s="12">
        <v>0</v>
      </c>
      <c r="M12" s="12"/>
      <c r="N12" s="12">
        <v>0</v>
      </c>
      <c r="P12" s="56">
        <f t="shared" si="1"/>
        <v>10</v>
      </c>
    </row>
    <row r="13" spans="2:18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3</v>
      </c>
      <c r="M13" s="12"/>
      <c r="N13" s="12">
        <v>6</v>
      </c>
      <c r="P13" s="56">
        <f t="shared" si="1"/>
        <v>9</v>
      </c>
    </row>
    <row r="14" spans="2:18" x14ac:dyDescent="0.35">
      <c r="B14" s="61" t="s">
        <v>45</v>
      </c>
      <c r="C14" s="62"/>
      <c r="D14" s="62"/>
      <c r="E14" s="62"/>
      <c r="F14" s="62"/>
      <c r="G14" s="62"/>
      <c r="H14" s="62"/>
      <c r="I14" s="62"/>
      <c r="J14" s="62"/>
      <c r="K14" s="62">
        <v>9</v>
      </c>
      <c r="L14" s="62"/>
      <c r="M14" s="62"/>
      <c r="N14" s="62"/>
      <c r="P14" s="56">
        <f t="shared" si="1"/>
        <v>9</v>
      </c>
    </row>
    <row r="15" spans="2:18" x14ac:dyDescent="0.35">
      <c r="B15" s="61" t="s">
        <v>42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P15" s="56">
        <f t="shared" si="1"/>
        <v>0</v>
      </c>
    </row>
    <row r="16" spans="2:18" x14ac:dyDescent="0.3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6">
        <f t="shared" si="1"/>
        <v>0</v>
      </c>
    </row>
    <row r="17" spans="2:16" x14ac:dyDescent="0.3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49"/>
    </row>
    <row r="18" spans="2:16" x14ac:dyDescent="0.3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0"/>
    </row>
    <row r="19" spans="2:16" x14ac:dyDescent="0.35">
      <c r="B19" s="9" t="s">
        <v>6</v>
      </c>
      <c r="C19" s="10">
        <f>C11*Params!$C$5*(1-Params!$C$3)-Params!$C$4</f>
        <v>10753.4</v>
      </c>
      <c r="D19" s="10">
        <f>D11*Params!$C$5*(1-Params!$C$3)-Params!$C$4</f>
        <v>10261.200000000001</v>
      </c>
      <c r="E19" s="10">
        <f>E11*Params!$C$5*(1-Params!$C$3)-Params!$C$4</f>
        <v>10261.200000000001</v>
      </c>
      <c r="F19" s="10">
        <f>F11*Params!$C$5*(1-Params!$C$3)-Params!$C$4</f>
        <v>10261.200000000001</v>
      </c>
      <c r="G19" s="10">
        <f>G11*Params!$C$5*(1-Params!$C$3)-Params!$C$4</f>
        <v>8784.6</v>
      </c>
      <c r="H19" s="10">
        <f>H11*Params!$C$5*(1-Params!$C$3)-Params!$C$4</f>
        <v>9769</v>
      </c>
      <c r="I19" s="10">
        <f>I11*Params!$C$5*(1-Params!$C$3)-Params!$C$4</f>
        <v>9769</v>
      </c>
      <c r="J19" s="10">
        <f>J11*Params!$C$5*(1-Params!$C$3)-Params!$C$4</f>
        <v>10261.200000000001</v>
      </c>
      <c r="K19" s="10">
        <f>K11*Params!$C$5*(1-Params!$C$3)-Params!$C$4</f>
        <v>2878.2000000000003</v>
      </c>
      <c r="L19" s="10">
        <f>L11*Params!$C$5*(1-Params!$C$3)-Params!$C$4</f>
        <v>11245.6</v>
      </c>
      <c r="M19" s="10">
        <f>M11*Params!$C$5*(1-Params!$C$3)-Params!$C$4</f>
        <v>9276.8000000000011</v>
      </c>
      <c r="N19" s="10">
        <f>N11*Params!$C$5*(1-Params!$C$3)-Params!$C$4</f>
        <v>7308</v>
      </c>
      <c r="O19" s="4"/>
      <c r="P19" s="41">
        <f>SUM(C19:N19)</f>
        <v>110829.40000000001</v>
      </c>
    </row>
    <row r="20" spans="2:16" x14ac:dyDescent="0.3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2">SUM(C19:C20)</f>
        <v>10753.4</v>
      </c>
      <c r="D21" s="28">
        <f t="shared" si="2"/>
        <v>10261.200000000001</v>
      </c>
      <c r="E21" s="28">
        <f t="shared" si="2"/>
        <v>10261.200000000001</v>
      </c>
      <c r="F21" s="28">
        <f t="shared" si="2"/>
        <v>10261.200000000001</v>
      </c>
      <c r="G21" s="28">
        <f t="shared" si="2"/>
        <v>8784.6</v>
      </c>
      <c r="H21" s="28">
        <f t="shared" si="2"/>
        <v>9769</v>
      </c>
      <c r="I21" s="28">
        <f t="shared" si="2"/>
        <v>9769</v>
      </c>
      <c r="J21" s="28">
        <f t="shared" si="2"/>
        <v>10261.200000000001</v>
      </c>
      <c r="K21" s="28">
        <f t="shared" si="2"/>
        <v>2878.2000000000003</v>
      </c>
      <c r="L21" s="28">
        <f t="shared" si="2"/>
        <v>11245.6</v>
      </c>
      <c r="M21" s="28">
        <f t="shared" si="2"/>
        <v>9276.8000000000011</v>
      </c>
      <c r="N21" s="28">
        <f t="shared" si="2"/>
        <v>7308</v>
      </c>
      <c r="O21" s="5"/>
      <c r="P21" s="42">
        <f>SUM(C21:N21)</f>
        <v>110829.40000000001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5">
      <c r="B24" s="9" t="s">
        <v>7</v>
      </c>
      <c r="C24" s="10">
        <v>5653.95</v>
      </c>
      <c r="D24" s="10">
        <v>5653.95</v>
      </c>
      <c r="E24" s="10">
        <v>5653.95</v>
      </c>
      <c r="F24" s="10">
        <v>5653.95</v>
      </c>
      <c r="G24" s="10">
        <v>5653.95</v>
      </c>
      <c r="H24" s="10">
        <v>5653.95</v>
      </c>
      <c r="I24" s="10">
        <v>5653.95</v>
      </c>
      <c r="J24" s="10">
        <v>5653.95</v>
      </c>
      <c r="K24" s="10">
        <v>5653.95</v>
      </c>
      <c r="L24" s="10">
        <v>4891.55</v>
      </c>
      <c r="M24" s="10">
        <v>5653.95</v>
      </c>
      <c r="N24" s="10">
        <v>4157</v>
      </c>
      <c r="O24" s="4"/>
      <c r="P24" s="43">
        <f>SUM(C24:N24)</f>
        <v>65588.049999999988</v>
      </c>
    </row>
    <row r="25" spans="2:16" x14ac:dyDescent="0.35">
      <c r="B25" s="9" t="s">
        <v>8</v>
      </c>
      <c r="C25" s="10">
        <f>1177.34+2339.79</f>
        <v>3517.13</v>
      </c>
      <c r="D25" s="10">
        <f>1177.34+2339.79</f>
        <v>3517.13</v>
      </c>
      <c r="E25" s="10">
        <f>1177.34+2339.79</f>
        <v>3517.13</v>
      </c>
      <c r="F25" s="10">
        <f>1177.34+2339.79</f>
        <v>3517.13</v>
      </c>
      <c r="G25" s="10">
        <f>1177.34+2365.41</f>
        <v>3542.75</v>
      </c>
      <c r="H25" s="10">
        <f>1177.34+2368.05</f>
        <v>3545.3900000000003</v>
      </c>
      <c r="I25" s="10">
        <f>1177.34+2368.25</f>
        <v>3545.59</v>
      </c>
      <c r="J25" s="10">
        <f>1177.34+2376.14</f>
        <v>3553.4799999999996</v>
      </c>
      <c r="K25" s="10">
        <f>1177.34+2368.25</f>
        <v>3545.59</v>
      </c>
      <c r="L25" s="10">
        <f>1026.61+2074.9</f>
        <v>3101.51</v>
      </c>
      <c r="M25" s="10">
        <f>1177.34+2368.25</f>
        <v>3545.59</v>
      </c>
      <c r="N25" s="10">
        <f>884.32+1786.66</f>
        <v>2670.98</v>
      </c>
      <c r="O25" s="4"/>
      <c r="P25" s="43">
        <f>SUM(C25:N25)</f>
        <v>41119.4</v>
      </c>
    </row>
    <row r="26" spans="2:16" x14ac:dyDescent="0.35">
      <c r="B26" s="53" t="s">
        <v>40</v>
      </c>
      <c r="C26" s="10">
        <v>575.96</v>
      </c>
      <c r="D26" s="10">
        <v>618.88</v>
      </c>
      <c r="E26" s="10">
        <v>649.78</v>
      </c>
      <c r="F26" s="10">
        <v>649.78</v>
      </c>
      <c r="G26" s="10">
        <v>571.24</v>
      </c>
      <c r="H26" s="10">
        <v>623.6</v>
      </c>
      <c r="I26" s="10">
        <v>623.6</v>
      </c>
      <c r="J26" s="10">
        <v>649.78</v>
      </c>
      <c r="K26" s="10">
        <v>257.08</v>
      </c>
      <c r="L26" s="10">
        <v>702.14</v>
      </c>
      <c r="M26" s="10">
        <v>597.41999999999996</v>
      </c>
      <c r="N26" s="10">
        <v>880.6</v>
      </c>
      <c r="O26" s="4"/>
      <c r="P26" s="43">
        <f>SUM(C26:N26)</f>
        <v>7399.8600000000006</v>
      </c>
    </row>
    <row r="27" spans="2:16" x14ac:dyDescent="0.35">
      <c r="B27" s="8" t="s">
        <v>3</v>
      </c>
      <c r="C27" s="44">
        <f t="shared" ref="C27:N27" si="3">SUM(C24:C26)</f>
        <v>9747.0400000000009</v>
      </c>
      <c r="D27" s="44">
        <f t="shared" si="3"/>
        <v>9789.9599999999991</v>
      </c>
      <c r="E27" s="44">
        <f t="shared" si="3"/>
        <v>9820.86</v>
      </c>
      <c r="F27" s="44">
        <f t="shared" si="3"/>
        <v>9820.86</v>
      </c>
      <c r="G27" s="44">
        <f t="shared" si="3"/>
        <v>9767.94</v>
      </c>
      <c r="H27" s="44">
        <f t="shared" si="3"/>
        <v>9822.94</v>
      </c>
      <c r="I27" s="44">
        <f t="shared" si="3"/>
        <v>9823.1400000000012</v>
      </c>
      <c r="J27" s="44">
        <f t="shared" si="3"/>
        <v>9857.2100000000009</v>
      </c>
      <c r="K27" s="44">
        <f t="shared" si="3"/>
        <v>9456.6200000000008</v>
      </c>
      <c r="L27" s="44">
        <f t="shared" si="3"/>
        <v>8695.2000000000007</v>
      </c>
      <c r="M27" s="44">
        <f t="shared" si="3"/>
        <v>9796.9600000000009</v>
      </c>
      <c r="N27" s="44">
        <f t="shared" si="3"/>
        <v>7708.58</v>
      </c>
      <c r="O27" s="4"/>
      <c r="P27" s="57">
        <f>SUM(C27:N27)</f>
        <v>114107.31000000001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68" t="s">
        <v>36</v>
      </c>
      <c r="C29" s="69">
        <f t="shared" ref="C29:N29" si="4">C21-C27</f>
        <v>1006.3599999999988</v>
      </c>
      <c r="D29" s="69">
        <f t="shared" si="4"/>
        <v>471.2400000000016</v>
      </c>
      <c r="E29" s="69">
        <f t="shared" si="4"/>
        <v>440.34000000000015</v>
      </c>
      <c r="F29" s="69">
        <f t="shared" si="4"/>
        <v>440.34000000000015</v>
      </c>
      <c r="G29" s="69">
        <f t="shared" si="4"/>
        <v>-983.34000000000015</v>
      </c>
      <c r="H29" s="69">
        <f t="shared" si="4"/>
        <v>-53.940000000000509</v>
      </c>
      <c r="I29" s="69">
        <f t="shared" si="4"/>
        <v>-54.140000000001237</v>
      </c>
      <c r="J29" s="69">
        <f t="shared" si="4"/>
        <v>403.98999999999978</v>
      </c>
      <c r="K29" s="69">
        <f t="shared" si="4"/>
        <v>-6578.42</v>
      </c>
      <c r="L29" s="69">
        <f t="shared" si="4"/>
        <v>2550.3999999999996</v>
      </c>
      <c r="M29" s="69">
        <f t="shared" si="4"/>
        <v>-520.15999999999985</v>
      </c>
      <c r="N29" s="69">
        <f t="shared" si="4"/>
        <v>-400.57999999999993</v>
      </c>
      <c r="P29" s="70">
        <f>SUM(C29:N29)</f>
        <v>-3277.9100000000017</v>
      </c>
    </row>
    <row r="31" spans="2:16" x14ac:dyDescent="0.35">
      <c r="B31" s="59" t="s">
        <v>37</v>
      </c>
      <c r="C31" s="52">
        <v>1540</v>
      </c>
      <c r="D31" s="52">
        <v>1470</v>
      </c>
      <c r="E31" s="52">
        <v>1470</v>
      </c>
      <c r="F31" s="52">
        <v>1470</v>
      </c>
      <c r="G31" s="52">
        <v>1260</v>
      </c>
      <c r="H31" s="52">
        <v>1400</v>
      </c>
      <c r="I31" s="52">
        <v>1400</v>
      </c>
      <c r="J31" s="52">
        <v>1470</v>
      </c>
      <c r="K31" s="52">
        <v>420</v>
      </c>
      <c r="L31" s="52">
        <v>1610</v>
      </c>
      <c r="M31" s="52">
        <v>1330</v>
      </c>
      <c r="N31" s="52">
        <v>1050</v>
      </c>
      <c r="P31" s="58">
        <f>SUM(C31:N31)</f>
        <v>15890</v>
      </c>
    </row>
    <row r="32" spans="2:16" x14ac:dyDescent="0.35">
      <c r="B32" s="59" t="s">
        <v>38</v>
      </c>
      <c r="C32" s="52">
        <v>575.96</v>
      </c>
      <c r="D32" s="52">
        <v>618.88</v>
      </c>
      <c r="E32" s="52">
        <v>649.78</v>
      </c>
      <c r="F32" s="52">
        <v>649.78</v>
      </c>
      <c r="G32" s="52">
        <v>571.24</v>
      </c>
      <c r="H32" s="52">
        <v>623.6</v>
      </c>
      <c r="I32" s="52">
        <v>623.6</v>
      </c>
      <c r="J32" s="52">
        <v>649.78</v>
      </c>
      <c r="K32" s="52">
        <v>257.08</v>
      </c>
      <c r="L32" s="52">
        <v>702.14</v>
      </c>
      <c r="M32" s="52">
        <v>597.41999999999996</v>
      </c>
      <c r="N32" s="52">
        <v>880.6</v>
      </c>
      <c r="P32" s="58">
        <f>SUM(C32:N32)</f>
        <v>7399.8600000000006</v>
      </c>
    </row>
    <row r="34" spans="14:16" x14ac:dyDescent="0.35">
      <c r="N34" s="52" t="s">
        <v>43</v>
      </c>
      <c r="P34" s="58">
        <f>(P31*0.374) + 1457</f>
        <v>7399.86</v>
      </c>
    </row>
    <row r="35" spans="14:16" x14ac:dyDescent="0.35">
      <c r="N35" s="52" t="s">
        <v>44</v>
      </c>
      <c r="P35" s="58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zoomScaleNormal="100" workbookViewId="0">
      <selection activeCell="J32" sqref="J32"/>
    </sheetView>
  </sheetViews>
  <sheetFormatPr baseColWidth="10" defaultRowHeight="14.5" x14ac:dyDescent="0.35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6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>
        <v>10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5">
        <f>SUM(C6:N6)</f>
        <v>10</v>
      </c>
    </row>
    <row r="7" spans="2:16" x14ac:dyDescent="0.35">
      <c r="B7" s="9" t="s">
        <v>21</v>
      </c>
      <c r="C7" s="37">
        <v>11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5">
        <f>SUM(C7:N7)</f>
        <v>11</v>
      </c>
    </row>
    <row r="8" spans="2:16" x14ac:dyDescent="0.35">
      <c r="B8" s="18" t="s">
        <v>22</v>
      </c>
      <c r="C8" s="60">
        <f t="shared" ref="C8:N8" si="0">C7-C6</f>
        <v>1</v>
      </c>
      <c r="D8" s="60">
        <f t="shared" si="0"/>
        <v>0</v>
      </c>
      <c r="E8" s="60">
        <f t="shared" si="0"/>
        <v>0</v>
      </c>
      <c r="F8" s="60">
        <f t="shared" si="0"/>
        <v>0</v>
      </c>
      <c r="G8" s="60">
        <f t="shared" si="0"/>
        <v>0</v>
      </c>
      <c r="H8" s="60">
        <f t="shared" si="0"/>
        <v>0</v>
      </c>
      <c r="I8" s="60">
        <f t="shared" si="0"/>
        <v>0</v>
      </c>
      <c r="J8" s="60">
        <f t="shared" si="0"/>
        <v>0</v>
      </c>
      <c r="K8" s="60">
        <f t="shared" si="0"/>
        <v>0</v>
      </c>
      <c r="L8" s="60">
        <f t="shared" si="0"/>
        <v>0</v>
      </c>
      <c r="M8" s="60">
        <f t="shared" si="0"/>
        <v>0</v>
      </c>
      <c r="N8" s="60">
        <f t="shared" si="0"/>
        <v>0</v>
      </c>
      <c r="O8" s="36"/>
      <c r="P8" s="55">
        <f>SUM(C8:N8)</f>
        <v>1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>
        <v>17</v>
      </c>
      <c r="D11" s="11">
        <v>10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6">
        <f t="shared" ref="P11:P15" si="1">SUM(C11:N11)</f>
        <v>27</v>
      </c>
    </row>
    <row r="12" spans="2:16" x14ac:dyDescent="0.35">
      <c r="B12" s="9" t="s">
        <v>16</v>
      </c>
      <c r="C12" s="12"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 t="shared" si="1"/>
        <v>0</v>
      </c>
    </row>
    <row r="13" spans="2:16" x14ac:dyDescent="0.35">
      <c r="B13" s="9" t="s">
        <v>17</v>
      </c>
      <c r="C13" s="12">
        <v>11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 t="shared" si="1"/>
        <v>11</v>
      </c>
    </row>
    <row r="14" spans="2:16" x14ac:dyDescent="0.35">
      <c r="B14" s="61" t="s">
        <v>42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P14" s="56">
        <f t="shared" si="1"/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 t="shared" si="1"/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5">
      <c r="B18" s="9" t="s">
        <v>6</v>
      </c>
      <c r="C18" s="10">
        <f>C11*Params!$C$5*(1-Params!$C$3)-Params!$C$4</f>
        <v>8292.4</v>
      </c>
      <c r="D18" s="10">
        <f>D11*Params!$C$5*(1-Params!$C$3)-Params!$C$4</f>
        <v>4847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13139.4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27" t="s">
        <v>2</v>
      </c>
      <c r="C20" s="28">
        <f t="shared" ref="C20:N20" si="2">SUM(C18:C19)</f>
        <v>8292.4</v>
      </c>
      <c r="D20" s="28">
        <f t="shared" si="2"/>
        <v>4847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SUM(C20:N20)</f>
        <v>13139.4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1"/>
    </row>
    <row r="23" spans="2:16" x14ac:dyDescent="0.35">
      <c r="B23" s="9" t="s">
        <v>7</v>
      </c>
      <c r="C23" s="10">
        <v>1356.56</v>
      </c>
      <c r="D23" s="10">
        <v>1757.4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3113.96</v>
      </c>
    </row>
    <row r="24" spans="2:16" x14ac:dyDescent="0.35">
      <c r="B24" s="9" t="s">
        <v>8</v>
      </c>
      <c r="C24" s="10">
        <f>381.9+659.56</f>
        <v>1041.46</v>
      </c>
      <c r="D24" s="10">
        <f>151.97+228.67</f>
        <v>380.64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1422.1</v>
      </c>
    </row>
    <row r="25" spans="2:16" x14ac:dyDescent="0.35">
      <c r="B25" s="53" t="s">
        <v>40</v>
      </c>
      <c r="C25" s="10">
        <v>387.98</v>
      </c>
      <c r="D25" s="10">
        <v>152.36000000000001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540.34</v>
      </c>
    </row>
    <row r="26" spans="2:16" x14ac:dyDescent="0.35">
      <c r="B26" s="8" t="s">
        <v>3</v>
      </c>
      <c r="C26" s="44">
        <f>SUM(C23:C25)</f>
        <v>2786</v>
      </c>
      <c r="D26" s="44">
        <f t="shared" ref="D26:N26" si="3">SUM(D23:D25)</f>
        <v>2290.4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57">
        <f>SUM(C26:N26)</f>
        <v>5076.3999999999996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68" t="s">
        <v>36</v>
      </c>
      <c r="C28" s="69">
        <f t="shared" ref="C28:N28" si="4">C20-C26</f>
        <v>5506.4</v>
      </c>
      <c r="D28" s="69">
        <f t="shared" si="4"/>
        <v>2556.6</v>
      </c>
      <c r="E28" s="69">
        <f t="shared" si="4"/>
        <v>0</v>
      </c>
      <c r="F28" s="69">
        <f t="shared" si="4"/>
        <v>0</v>
      </c>
      <c r="G28" s="69">
        <f t="shared" si="4"/>
        <v>0</v>
      </c>
      <c r="H28" s="69">
        <f t="shared" si="4"/>
        <v>0</v>
      </c>
      <c r="I28" s="69">
        <f t="shared" si="4"/>
        <v>0</v>
      </c>
      <c r="J28" s="69">
        <f t="shared" si="4"/>
        <v>0</v>
      </c>
      <c r="K28" s="69">
        <f t="shared" si="4"/>
        <v>0</v>
      </c>
      <c r="L28" s="69">
        <f t="shared" si="4"/>
        <v>0</v>
      </c>
      <c r="M28" s="69">
        <f t="shared" si="4"/>
        <v>0</v>
      </c>
      <c r="N28" s="69">
        <f t="shared" si="4"/>
        <v>0</v>
      </c>
      <c r="P28" s="70">
        <f>SUM(C28:N28)</f>
        <v>8063</v>
      </c>
    </row>
    <row r="30" spans="2:16" x14ac:dyDescent="0.35">
      <c r="B30" s="59" t="s">
        <v>37</v>
      </c>
      <c r="C30" s="52">
        <v>770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P30" s="58">
        <f>SUM(C30:N30)</f>
        <v>770</v>
      </c>
    </row>
    <row r="31" spans="2:16" x14ac:dyDescent="0.35">
      <c r="B31" s="59" t="s">
        <v>38</v>
      </c>
      <c r="C31" s="52">
        <v>387.98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P31" s="58">
        <f>SUM(C31:N31)</f>
        <v>387.98</v>
      </c>
    </row>
    <row r="33" spans="14:16" x14ac:dyDescent="0.35">
      <c r="N33" s="52" t="s">
        <v>43</v>
      </c>
      <c r="P33" s="58">
        <f>(P30*0.374) + 1457</f>
        <v>1744.98</v>
      </c>
    </row>
    <row r="34" spans="14:16" x14ac:dyDescent="0.35">
      <c r="N34" s="52" t="s">
        <v>44</v>
      </c>
      <c r="P34" s="58">
        <f>P33-P31</f>
        <v>1357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5" t="s">
        <v>23</v>
      </c>
      <c r="C2" s="66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535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D3" sqref="D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7" t="s">
        <v>33</v>
      </c>
      <c r="C2" s="67"/>
    </row>
    <row r="3" spans="2:3" ht="17" customHeight="1" x14ac:dyDescent="0.35">
      <c r="B3" s="38" t="s">
        <v>34</v>
      </c>
      <c r="C3" s="39">
        <f>'2023'!P28+'2024'!P29+'2025'!P28</f>
        <v>0.6500000000005457</v>
      </c>
    </row>
    <row r="4" spans="2:3" ht="17" customHeight="1" x14ac:dyDescent="0.35">
      <c r="B4" s="38" t="s">
        <v>39</v>
      </c>
      <c r="C4" s="40">
        <f>'2023'!P12+'2024'!P12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2025-02-24T14:12:28Z</dcterms:modified>
</cp:coreProperties>
</file>