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Hanane BOUMI - 10-02-2025\"/>
    </mc:Choice>
  </mc:AlternateContent>
  <bookViews>
    <workbookView xWindow="0" yWindow="0" windowWidth="21600" windowHeight="1053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6" l="1"/>
  <c r="D26" i="15" l="1"/>
  <c r="E26" i="15"/>
  <c r="F26" i="15"/>
  <c r="G26" i="15"/>
  <c r="H26" i="15"/>
  <c r="I26" i="15"/>
  <c r="J26" i="15"/>
  <c r="K26" i="15"/>
  <c r="L26" i="15"/>
  <c r="M26" i="15"/>
  <c r="N26" i="15"/>
  <c r="C26" i="15"/>
  <c r="C23" i="16" l="1"/>
  <c r="D26" i="16" l="1"/>
  <c r="E26" i="16"/>
  <c r="F26" i="16"/>
  <c r="G26" i="16"/>
  <c r="H26" i="16"/>
  <c r="I26" i="16"/>
  <c r="J26" i="16"/>
  <c r="K26" i="16"/>
  <c r="L26" i="16"/>
  <c r="M26" i="16"/>
  <c r="N26" i="16"/>
  <c r="C26" i="16"/>
  <c r="P33" i="16"/>
  <c r="P34" i="16" s="1"/>
  <c r="P31" i="16"/>
  <c r="P30" i="16"/>
  <c r="P25" i="16"/>
  <c r="P24" i="16"/>
  <c r="P23" i="16"/>
  <c r="P22" i="16"/>
  <c r="P18" i="16"/>
  <c r="N19" i="16"/>
  <c r="M19" i="16"/>
  <c r="L19" i="16"/>
  <c r="K19" i="16"/>
  <c r="J19" i="16"/>
  <c r="J28" i="16" s="1"/>
  <c r="I19" i="16"/>
  <c r="H19" i="16"/>
  <c r="G19" i="16"/>
  <c r="F19" i="16"/>
  <c r="E19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L28" i="16" l="1"/>
  <c r="M28" i="16"/>
  <c r="E28" i="16"/>
  <c r="D28" i="16"/>
  <c r="H28" i="16"/>
  <c r="G28" i="16"/>
  <c r="P8" i="16"/>
  <c r="F28" i="16"/>
  <c r="N28" i="16"/>
  <c r="I28" i="16"/>
  <c r="P19" i="16"/>
  <c r="K28" i="16"/>
  <c r="P26" i="16"/>
  <c r="P17" i="16"/>
  <c r="P31" i="15"/>
  <c r="P30" i="15"/>
  <c r="P33" i="15" s="1"/>
  <c r="P34" i="15" s="1"/>
  <c r="P25" i="15"/>
  <c r="P24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P23" i="15" s="1"/>
  <c r="P22" i="15"/>
  <c r="P18" i="15"/>
  <c r="N17" i="15"/>
  <c r="N19" i="15" s="1"/>
  <c r="N28" i="15" s="1"/>
  <c r="M17" i="15"/>
  <c r="M19" i="15" s="1"/>
  <c r="M28" i="15" s="1"/>
  <c r="L17" i="15"/>
  <c r="L19" i="15" s="1"/>
  <c r="L28" i="15" s="1"/>
  <c r="K17" i="15"/>
  <c r="K19" i="15" s="1"/>
  <c r="J17" i="15"/>
  <c r="J19" i="15" s="1"/>
  <c r="I17" i="15"/>
  <c r="I19" i="15" s="1"/>
  <c r="H17" i="15"/>
  <c r="H19" i="15" s="1"/>
  <c r="H28" i="15" s="1"/>
  <c r="G17" i="15"/>
  <c r="G19" i="15" s="1"/>
  <c r="G28" i="15" s="1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0" i="14"/>
  <c r="P29" i="14"/>
  <c r="P32" i="14" s="1"/>
  <c r="P33" i="14" s="1"/>
  <c r="N25" i="14"/>
  <c r="M25" i="14"/>
  <c r="M27" i="14" s="1"/>
  <c r="J25" i="14"/>
  <c r="I25" i="14"/>
  <c r="F25" i="14"/>
  <c r="E25" i="14"/>
  <c r="E27" i="14" s="1"/>
  <c r="P24" i="14"/>
  <c r="N23" i="14"/>
  <c r="M23" i="14"/>
  <c r="L23" i="14"/>
  <c r="L25" i="14" s="1"/>
  <c r="K23" i="14"/>
  <c r="K25" i="14" s="1"/>
  <c r="J23" i="14"/>
  <c r="I23" i="14"/>
  <c r="H23" i="14"/>
  <c r="H25" i="14" s="1"/>
  <c r="G23" i="14"/>
  <c r="G25" i="14" s="1"/>
  <c r="F23" i="14"/>
  <c r="E23" i="14"/>
  <c r="D23" i="14"/>
  <c r="D25" i="14" s="1"/>
  <c r="C23" i="14"/>
  <c r="C25" i="14" s="1"/>
  <c r="P22" i="14"/>
  <c r="N19" i="14"/>
  <c r="N27" i="14" s="1"/>
  <c r="M19" i="14"/>
  <c r="J19" i="14"/>
  <c r="J27" i="14" s="1"/>
  <c r="I19" i="14"/>
  <c r="I27" i="14" s="1"/>
  <c r="F19" i="14"/>
  <c r="F27" i="14" s="1"/>
  <c r="E19" i="14"/>
  <c r="P18" i="14"/>
  <c r="N17" i="14"/>
  <c r="M17" i="14"/>
  <c r="L17" i="14"/>
  <c r="L19" i="14" s="1"/>
  <c r="L27" i="14" s="1"/>
  <c r="K17" i="14"/>
  <c r="K19" i="14" s="1"/>
  <c r="K27" i="14" s="1"/>
  <c r="J17" i="14"/>
  <c r="I17" i="14"/>
  <c r="H17" i="14"/>
  <c r="H19" i="14" s="1"/>
  <c r="G17" i="14"/>
  <c r="G19" i="14" s="1"/>
  <c r="F17" i="14"/>
  <c r="E17" i="14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C28" i="16" l="1"/>
  <c r="P28" i="16" s="1"/>
  <c r="P19" i="14"/>
  <c r="C27" i="14"/>
  <c r="I28" i="15"/>
  <c r="J28" i="15"/>
  <c r="P19" i="15"/>
  <c r="C28" i="15"/>
  <c r="K28" i="15"/>
  <c r="G27" i="14"/>
  <c r="P25" i="14"/>
  <c r="H27" i="14"/>
  <c r="P26" i="15"/>
  <c r="P17" i="15"/>
  <c r="P17" i="14"/>
  <c r="P23" i="14"/>
  <c r="P27" i="14" l="1"/>
  <c r="P28" i="15"/>
  <c r="C3" i="13" s="1"/>
</calcChain>
</file>

<file path=xl/sharedStrings.xml><?xml version="1.0" encoding="utf-8"?>
<sst xmlns="http://schemas.openxmlformats.org/spreadsheetml/2006/main" count="124" uniqueCount="46">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</sst>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I2" workbookViewId="0">
      <selection activeCell="P27" sqref="P27"/>
    </sheetView>
  </sheetViews>
  <sheetFormatPr baseColWidth="10" defaultRowHeight="14.5" x14ac:dyDescent="0.35"/>
  <cols>
    <col min="1" max="1" width="3" customWidth="1"/>
    <col min="2" max="2" width="28" customWidth="1"/>
    <col min="14" max="14" width="18.90625" bestFit="1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10</v>
      </c>
      <c r="O6" s="36"/>
      <c r="P6" s="58">
        <f>SUM(C6:N6)</f>
        <v>219</v>
      </c>
    </row>
    <row r="7" spans="2:16" x14ac:dyDescent="0.35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>
        <v>19</v>
      </c>
      <c r="O7" s="36"/>
      <c r="P7" s="58">
        <f>SUM(C7:N7)</f>
        <v>219</v>
      </c>
    </row>
    <row r="8" spans="2:16" x14ac:dyDescent="0.35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9</v>
      </c>
      <c r="O8" s="36"/>
      <c r="P8" s="58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>
        <v>19</v>
      </c>
      <c r="P11" s="59">
        <f>SUM(C11:N11)</f>
        <v>219</v>
      </c>
    </row>
    <row r="12" spans="2:16" x14ac:dyDescent="0.35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>
        <v>1</v>
      </c>
      <c r="P12" s="59">
        <f>SUM(C12:N12)</f>
        <v>33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>
        <f>N11*Params!$C$6*(1-Params!$C$3)-Params!$C$4</f>
        <v>9713.8000000000011</v>
      </c>
      <c r="O17" s="4"/>
      <c r="P17" s="41">
        <f>SUM(C17:N17)</f>
        <v>104292.80000000002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9713.8000000000011</v>
      </c>
      <c r="O19" s="5"/>
      <c r="P19" s="42">
        <f>SUM(C19:N19)</f>
        <v>104292.80000000002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>
        <v>5156.75</v>
      </c>
      <c r="O22" s="4"/>
      <c r="P22" s="43">
        <f>SUM(C22:N22)</f>
        <v>62934.909999999996</v>
      </c>
    </row>
    <row r="23" spans="2:16" x14ac:dyDescent="0.35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>
        <f>1074.63+1810.96</f>
        <v>2885.59</v>
      </c>
      <c r="O23" s="4"/>
      <c r="P23" s="43">
        <f>SUM(C23:N23)</f>
        <v>35139.5</v>
      </c>
    </row>
    <row r="24" spans="2:16" x14ac:dyDescent="0.35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>
        <v>528.52</v>
      </c>
      <c r="O24" s="4"/>
      <c r="P24" s="43">
        <f>SUM(C24:N24)</f>
        <v>4308.4000000000005</v>
      </c>
    </row>
    <row r="25" spans="2:16" x14ac:dyDescent="0.35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8570.86</v>
      </c>
      <c r="O25" s="4"/>
      <c r="P25" s="61">
        <f>SUM(C25:N25)</f>
        <v>102382.81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1142.9400000000005</v>
      </c>
      <c r="P27" s="60">
        <f>SUM(C27:N27)</f>
        <v>1909.9900000000007</v>
      </c>
    </row>
    <row r="29" spans="2:16" x14ac:dyDescent="0.35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>
        <v>760</v>
      </c>
      <c r="P29" s="62">
        <f>SUM(C29:N29)</f>
        <v>8760</v>
      </c>
    </row>
    <row r="30" spans="2:16" x14ac:dyDescent="0.35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>
        <v>258.39999999999998</v>
      </c>
      <c r="P30" s="62">
        <f>SUM(C30:N30)</f>
        <v>4038.2800000000007</v>
      </c>
    </row>
    <row r="32" spans="2:16" x14ac:dyDescent="0.35">
      <c r="N32" s="54" t="s">
        <v>43</v>
      </c>
      <c r="P32" s="62">
        <f>(P29*0.34)+1330</f>
        <v>4308.3999999999996</v>
      </c>
    </row>
    <row r="33" spans="14:16" x14ac:dyDescent="0.35">
      <c r="N33" s="54" t="s">
        <v>44</v>
      </c>
      <c r="P33" s="62">
        <f>P32-P30</f>
        <v>270.11999999999898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workbookViewId="0">
      <selection activeCell="L25" sqref="L25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10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219</v>
      </c>
    </row>
    <row r="7" spans="2:16" x14ac:dyDescent="0.35">
      <c r="B7" s="9" t="s">
        <v>21</v>
      </c>
      <c r="C7" s="37">
        <v>17</v>
      </c>
      <c r="D7" s="37">
        <v>21</v>
      </c>
      <c r="E7" s="37">
        <v>21</v>
      </c>
      <c r="F7" s="37">
        <v>17</v>
      </c>
      <c r="G7" s="37">
        <v>14</v>
      </c>
      <c r="H7" s="37">
        <v>16</v>
      </c>
      <c r="I7" s="37">
        <v>18</v>
      </c>
      <c r="J7" s="37">
        <v>21</v>
      </c>
      <c r="K7" s="37">
        <v>21</v>
      </c>
      <c r="L7" s="37">
        <v>23</v>
      </c>
      <c r="M7" s="37">
        <v>18</v>
      </c>
      <c r="N7" s="37">
        <v>20</v>
      </c>
      <c r="O7" s="36"/>
      <c r="P7" s="58">
        <f>SUM(C7:N7)</f>
        <v>227</v>
      </c>
    </row>
    <row r="8" spans="2:16" x14ac:dyDescent="0.35">
      <c r="B8" s="18" t="s">
        <v>22</v>
      </c>
      <c r="C8" s="64">
        <f t="shared" ref="C8:N8" si="0">C7-C6</f>
        <v>-2</v>
      </c>
      <c r="D8" s="64">
        <f t="shared" si="0"/>
        <v>2</v>
      </c>
      <c r="E8" s="64">
        <f t="shared" si="0"/>
        <v>2</v>
      </c>
      <c r="F8" s="64">
        <f t="shared" si="0"/>
        <v>-2</v>
      </c>
      <c r="G8" s="64">
        <f t="shared" si="0"/>
        <v>-5</v>
      </c>
      <c r="H8" s="64">
        <f t="shared" si="0"/>
        <v>-3</v>
      </c>
      <c r="I8" s="64">
        <f t="shared" si="0"/>
        <v>8</v>
      </c>
      <c r="J8" s="64">
        <f t="shared" si="0"/>
        <v>2</v>
      </c>
      <c r="K8" s="64">
        <f t="shared" si="0"/>
        <v>2</v>
      </c>
      <c r="L8" s="64">
        <f t="shared" si="0"/>
        <v>4</v>
      </c>
      <c r="M8" s="64">
        <f t="shared" si="0"/>
        <v>-1</v>
      </c>
      <c r="N8" s="64">
        <f t="shared" si="0"/>
        <v>1</v>
      </c>
      <c r="O8" s="36"/>
      <c r="P8" s="58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17</v>
      </c>
      <c r="D11" s="11">
        <v>21</v>
      </c>
      <c r="E11" s="11">
        <v>21</v>
      </c>
      <c r="F11" s="11">
        <v>17</v>
      </c>
      <c r="G11" s="11">
        <v>14</v>
      </c>
      <c r="H11" s="11">
        <v>16</v>
      </c>
      <c r="I11" s="11">
        <v>18</v>
      </c>
      <c r="J11" s="11">
        <v>21</v>
      </c>
      <c r="K11" s="11">
        <v>21</v>
      </c>
      <c r="L11" s="11">
        <v>23</v>
      </c>
      <c r="M11" s="11">
        <v>17.5</v>
      </c>
      <c r="N11" s="11">
        <v>20</v>
      </c>
      <c r="P11" s="59">
        <f>SUM(C11:N11)</f>
        <v>226.5</v>
      </c>
    </row>
    <row r="12" spans="2:16" x14ac:dyDescent="0.35">
      <c r="B12" s="9" t="s">
        <v>16</v>
      </c>
      <c r="C12" s="12">
        <v>5</v>
      </c>
      <c r="D12" s="12"/>
      <c r="E12" s="12"/>
      <c r="F12" s="12">
        <v>4</v>
      </c>
      <c r="G12" s="12">
        <v>5</v>
      </c>
      <c r="H12" s="12">
        <v>4</v>
      </c>
      <c r="I12" s="12">
        <v>0</v>
      </c>
      <c r="J12" s="12"/>
      <c r="K12" s="12"/>
      <c r="L12" s="12"/>
      <c r="M12" s="12">
        <v>1.5</v>
      </c>
      <c r="N12" s="12">
        <v>1</v>
      </c>
      <c r="P12" s="59">
        <f>SUM(C12:N12)</f>
        <v>20.5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>
        <v>5</v>
      </c>
      <c r="J13" s="12"/>
      <c r="K13" s="12"/>
      <c r="L13" s="12"/>
      <c r="M13" s="12"/>
      <c r="N13" s="12"/>
      <c r="P13" s="59">
        <f>SUM(C13:N13)</f>
        <v>5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8683.4</v>
      </c>
      <c r="D17" s="10">
        <f>D11*Params!C6*(1-Params!$C$3)-Params!$C$4</f>
        <v>10744.2</v>
      </c>
      <c r="E17" s="10">
        <f>E11*Params!$C$6*(1-Params!$C$3)-Params!$C$4</f>
        <v>10744.2</v>
      </c>
      <c r="F17" s="10">
        <f>F11*Params!$C$6*(1-Params!$C$3)-Params!$C$4</f>
        <v>8683.4</v>
      </c>
      <c r="G17" s="10">
        <f>G11*Params!$C$6*(1-Params!$C$3)-Params!$C$4</f>
        <v>7137.8</v>
      </c>
      <c r="H17" s="10">
        <f>H11*Params!$C$6*(1-Params!$C$3)-Params!$C$4</f>
        <v>8168.2000000000007</v>
      </c>
      <c r="I17" s="10">
        <f>I11*Params!$C$6*(1-Params!$C$3)-Params!$C$4</f>
        <v>9198.6</v>
      </c>
      <c r="J17" s="10">
        <f>J11*Params!$C$6*(1-Params!$C$3)-Params!$C$4</f>
        <v>10744.2</v>
      </c>
      <c r="K17" s="10">
        <f>K11*Params!$C$6*(1-Params!$C$3)-Params!$C$4</f>
        <v>10744.2</v>
      </c>
      <c r="L17" s="10">
        <f>L11*Params!$C$6*(1-Params!$C$3)-Params!$C$4</f>
        <v>11774.6</v>
      </c>
      <c r="M17" s="10">
        <f>M11*Params!$C$6*(1-Params!$C$3)-Params!$C$4</f>
        <v>8941</v>
      </c>
      <c r="N17" s="10">
        <f>N11*Params!$C$6*(1-Params!$C$3)-Params!$C$4</f>
        <v>10229</v>
      </c>
      <c r="O17" s="4"/>
      <c r="P17" s="41">
        <f>SUM(C17:N17)</f>
        <v>115792.8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8683.4</v>
      </c>
      <c r="D19" s="28">
        <f t="shared" si="1"/>
        <v>10744.2</v>
      </c>
      <c r="E19" s="28">
        <f t="shared" si="1"/>
        <v>10744.2</v>
      </c>
      <c r="F19" s="28">
        <f t="shared" si="1"/>
        <v>8683.4</v>
      </c>
      <c r="G19" s="28">
        <f t="shared" si="1"/>
        <v>7137.8</v>
      </c>
      <c r="H19" s="28">
        <f t="shared" si="1"/>
        <v>8168.2000000000007</v>
      </c>
      <c r="I19" s="28">
        <f t="shared" si="1"/>
        <v>9198.6</v>
      </c>
      <c r="J19" s="28">
        <f t="shared" si="1"/>
        <v>10744.2</v>
      </c>
      <c r="K19" s="28">
        <f t="shared" si="1"/>
        <v>10744.2</v>
      </c>
      <c r="L19" s="28">
        <f t="shared" si="1"/>
        <v>11774.6</v>
      </c>
      <c r="M19" s="28">
        <f t="shared" si="1"/>
        <v>8941</v>
      </c>
      <c r="N19" s="28">
        <f t="shared" si="1"/>
        <v>10229</v>
      </c>
      <c r="O19" s="5"/>
      <c r="P19" s="42">
        <f>SUM(C19:N19)</f>
        <v>115792.8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5243.57</v>
      </c>
      <c r="D22" s="10">
        <v>5581.84</v>
      </c>
      <c r="E22" s="10">
        <v>5581.84</v>
      </c>
      <c r="F22" s="10">
        <v>5581.84</v>
      </c>
      <c r="G22" s="10">
        <v>5581.84</v>
      </c>
      <c r="H22" s="10">
        <v>5581.84</v>
      </c>
      <c r="I22" s="10">
        <v>4227.7</v>
      </c>
      <c r="J22" s="10">
        <v>5581.84</v>
      </c>
      <c r="K22" s="10">
        <v>5581.84</v>
      </c>
      <c r="L22" s="10">
        <v>5581.84</v>
      </c>
      <c r="M22" s="10">
        <v>5481.5</v>
      </c>
      <c r="N22" s="10">
        <v>5481.5</v>
      </c>
      <c r="O22" s="4"/>
      <c r="P22" s="43">
        <f>SUM(C22:N22)</f>
        <v>65088.989999999991</v>
      </c>
    </row>
    <row r="23" spans="2:16" x14ac:dyDescent="0.35">
      <c r="B23" s="9" t="s">
        <v>8</v>
      </c>
      <c r="C23" s="10">
        <f>1099.29+1858.65</f>
        <v>2957.94</v>
      </c>
      <c r="D23" s="10">
        <f>1164.3+1985.76</f>
        <v>3150.06</v>
      </c>
      <c r="E23" s="10">
        <f>1164.3+2965.18</f>
        <v>4129.4799999999996</v>
      </c>
      <c r="F23" s="10">
        <f>1164.3+2310.73</f>
        <v>3475.0299999999997</v>
      </c>
      <c r="G23" s="10">
        <f>1164.3+2346.56</f>
        <v>3510.8599999999997</v>
      </c>
      <c r="H23" s="10">
        <f>1164.3+2349.17</f>
        <v>3513.4700000000003</v>
      </c>
      <c r="I23" s="10">
        <f>904.36+1802.26</f>
        <v>2706.62</v>
      </c>
      <c r="J23" s="10">
        <f>1164.3+2338.84</f>
        <v>3503.1400000000003</v>
      </c>
      <c r="K23" s="10">
        <f>1164.3+2338.84</f>
        <v>3503.1400000000003</v>
      </c>
      <c r="L23" s="10">
        <f>1164.3+2338.84</f>
        <v>3503.1400000000003</v>
      </c>
      <c r="M23" s="10">
        <f>1157.32+2306.28</f>
        <v>3463.6000000000004</v>
      </c>
      <c r="N23" s="10">
        <f>1157.32+2309.92</f>
        <v>3467.24</v>
      </c>
      <c r="O23" s="4"/>
      <c r="P23" s="43">
        <f>SUM(C23:N23)</f>
        <v>40883.719999999994</v>
      </c>
    </row>
    <row r="24" spans="2:16" x14ac:dyDescent="0.35">
      <c r="B24" s="55" t="s">
        <v>40</v>
      </c>
      <c r="C24" s="56">
        <v>331.2</v>
      </c>
      <c r="D24" s="56">
        <v>385.6</v>
      </c>
      <c r="E24" s="56">
        <v>285.60000000000002</v>
      </c>
      <c r="F24" s="56">
        <v>331.2</v>
      </c>
      <c r="G24" s="56">
        <v>304</v>
      </c>
      <c r="H24" s="56">
        <v>317.60000000000002</v>
      </c>
      <c r="I24" s="56">
        <v>344.8</v>
      </c>
      <c r="J24" s="56">
        <v>385.6</v>
      </c>
      <c r="K24" s="56">
        <v>385.6</v>
      </c>
      <c r="L24" s="56">
        <v>412.8</v>
      </c>
      <c r="M24" s="56">
        <v>406</v>
      </c>
      <c r="N24" s="56">
        <v>724.4</v>
      </c>
      <c r="O24" s="4"/>
      <c r="P24" s="43">
        <f>SUM(C24:N24)</f>
        <v>4614.3999999999996</v>
      </c>
    </row>
    <row r="25" spans="2:16" x14ac:dyDescent="0.35">
      <c r="B25" s="9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v>724.17</v>
      </c>
      <c r="M25" s="10"/>
      <c r="N25" s="10"/>
      <c r="O25" s="4"/>
      <c r="P25" s="43">
        <f>SUM(C25:N25)</f>
        <v>724.17</v>
      </c>
    </row>
    <row r="26" spans="2:16" x14ac:dyDescent="0.35">
      <c r="B26" s="8" t="s">
        <v>3</v>
      </c>
      <c r="C26" s="44">
        <f>SUM(C22:C25)</f>
        <v>8532.7100000000009</v>
      </c>
      <c r="D26" s="44">
        <f t="shared" ref="D26:N26" si="2">SUM(D22:D25)</f>
        <v>9117.5</v>
      </c>
      <c r="E26" s="44">
        <f t="shared" si="2"/>
        <v>9996.92</v>
      </c>
      <c r="F26" s="44">
        <f t="shared" si="2"/>
        <v>9388.07</v>
      </c>
      <c r="G26" s="44">
        <f t="shared" si="2"/>
        <v>9396.7000000000007</v>
      </c>
      <c r="H26" s="44">
        <f t="shared" si="2"/>
        <v>9412.9100000000017</v>
      </c>
      <c r="I26" s="44">
        <f t="shared" si="2"/>
        <v>7279.12</v>
      </c>
      <c r="J26" s="44">
        <f t="shared" si="2"/>
        <v>9470.58</v>
      </c>
      <c r="K26" s="44">
        <f t="shared" si="2"/>
        <v>9470.58</v>
      </c>
      <c r="L26" s="44">
        <f t="shared" si="2"/>
        <v>10221.949999999999</v>
      </c>
      <c r="M26" s="44">
        <f t="shared" si="2"/>
        <v>9351.1</v>
      </c>
      <c r="N26" s="44">
        <f t="shared" si="2"/>
        <v>9673.14</v>
      </c>
      <c r="O26" s="4"/>
      <c r="P26" s="61">
        <f>SUM(C26:N26)</f>
        <v>111311.28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150.68999999999869</v>
      </c>
      <c r="D28" s="47">
        <f t="shared" si="3"/>
        <v>1626.7000000000007</v>
      </c>
      <c r="E28" s="47">
        <f t="shared" si="3"/>
        <v>747.28000000000065</v>
      </c>
      <c r="F28" s="47">
        <f t="shared" si="3"/>
        <v>-704.67000000000007</v>
      </c>
      <c r="G28" s="47">
        <f t="shared" si="3"/>
        <v>-2258.9000000000005</v>
      </c>
      <c r="H28" s="47">
        <f t="shared" si="3"/>
        <v>-1244.7100000000009</v>
      </c>
      <c r="I28" s="47">
        <f t="shared" si="3"/>
        <v>1919.4800000000005</v>
      </c>
      <c r="J28" s="47">
        <f t="shared" si="3"/>
        <v>1273.6200000000008</v>
      </c>
      <c r="K28" s="47">
        <f t="shared" si="3"/>
        <v>1273.6200000000008</v>
      </c>
      <c r="L28" s="47">
        <f t="shared" si="3"/>
        <v>1552.6500000000015</v>
      </c>
      <c r="M28" s="47">
        <f t="shared" si="3"/>
        <v>-410.10000000000036</v>
      </c>
      <c r="N28" s="47">
        <f t="shared" si="3"/>
        <v>555.86000000000058</v>
      </c>
      <c r="P28" s="60">
        <f>SUM(C28:N28)</f>
        <v>4481.5200000000023</v>
      </c>
    </row>
    <row r="30" spans="2:16" x14ac:dyDescent="0.35">
      <c r="B30" s="63" t="s">
        <v>37</v>
      </c>
      <c r="C30" s="54">
        <v>680</v>
      </c>
      <c r="D30" s="54">
        <v>840</v>
      </c>
      <c r="E30" s="54">
        <v>840</v>
      </c>
      <c r="F30" s="54">
        <v>680</v>
      </c>
      <c r="G30" s="54">
        <v>600</v>
      </c>
      <c r="H30" s="54">
        <v>640</v>
      </c>
      <c r="I30" s="54">
        <v>720</v>
      </c>
      <c r="J30" s="54">
        <v>840</v>
      </c>
      <c r="K30" s="54">
        <v>840</v>
      </c>
      <c r="L30" s="54">
        <v>920</v>
      </c>
      <c r="M30" s="54">
        <v>900</v>
      </c>
      <c r="N30" s="54">
        <v>1160</v>
      </c>
      <c r="P30" s="62">
        <f>SUM(C30:N30)</f>
        <v>9660</v>
      </c>
    </row>
    <row r="31" spans="2:16" x14ac:dyDescent="0.35">
      <c r="B31" s="63" t="s">
        <v>38</v>
      </c>
      <c r="C31" s="54">
        <v>331.2</v>
      </c>
      <c r="D31" s="54">
        <v>385.6</v>
      </c>
      <c r="E31" s="54">
        <v>285.60000000000002</v>
      </c>
      <c r="F31" s="54">
        <v>331.2</v>
      </c>
      <c r="G31" s="54">
        <v>304</v>
      </c>
      <c r="H31" s="54">
        <v>317.60000000000002</v>
      </c>
      <c r="I31" s="54">
        <v>344.8</v>
      </c>
      <c r="J31" s="54">
        <v>385.6</v>
      </c>
      <c r="K31" s="54">
        <v>385.6</v>
      </c>
      <c r="L31" s="54">
        <v>412.8</v>
      </c>
      <c r="M31" s="54">
        <v>406</v>
      </c>
      <c r="N31" s="54">
        <v>724.4</v>
      </c>
      <c r="P31" s="62">
        <f>SUM(C31:N31)</f>
        <v>4614.3999999999996</v>
      </c>
    </row>
    <row r="33" spans="14:16" x14ac:dyDescent="0.35">
      <c r="N33" s="54" t="s">
        <v>43</v>
      </c>
      <c r="P33" s="62">
        <f>(P30*0.34)+1330</f>
        <v>4614.3999999999996</v>
      </c>
    </row>
    <row r="34" spans="14:16" x14ac:dyDescent="0.35">
      <c r="N34" s="54" t="s">
        <v>44</v>
      </c>
      <c r="P34" s="62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topLeftCell="A10" zoomScale="175" zoomScaleNormal="175" workbookViewId="0">
      <selection activeCell="E23" sqref="E23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6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25</v>
      </c>
    </row>
    <row r="7" spans="2:16" x14ac:dyDescent="0.35">
      <c r="B7" s="9" t="s">
        <v>21</v>
      </c>
      <c r="C7" s="37">
        <v>18</v>
      </c>
      <c r="D7" s="37">
        <v>6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24</v>
      </c>
    </row>
    <row r="8" spans="2:16" x14ac:dyDescent="0.35">
      <c r="B8" s="18" t="s">
        <v>22</v>
      </c>
      <c r="C8" s="64">
        <f t="shared" ref="C8:N8" si="0">C7-C6</f>
        <v>-1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18.5</v>
      </c>
      <c r="D11" s="11">
        <v>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24.5</v>
      </c>
    </row>
    <row r="12" spans="2:16" x14ac:dyDescent="0.35">
      <c r="B12" s="9" t="s">
        <v>16</v>
      </c>
      <c r="C12" s="12">
        <v>3.5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>
        <v>5</v>
      </c>
      <c r="J13" s="12"/>
      <c r="K13" s="12"/>
      <c r="L13" s="12"/>
      <c r="M13" s="12"/>
      <c r="N13" s="12"/>
      <c r="P13" s="59">
        <f>SUM(C13:N13)</f>
        <v>5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9456.2000000000007</v>
      </c>
      <c r="D17" s="10">
        <f>D11*Params!C6*(1-Params!$C$3)-Params!$C$4</f>
        <v>3016.2000000000003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12472.400000000001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9456.2000000000007</v>
      </c>
      <c r="D19" s="28">
        <f t="shared" si="1"/>
        <v>3016.2000000000003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12472.400000000001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5480.04</v>
      </c>
      <c r="D22" s="10">
        <v>7101.57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12581.61</v>
      </c>
    </row>
    <row r="23" spans="2:16" x14ac:dyDescent="0.35">
      <c r="B23" s="9" t="s">
        <v>8</v>
      </c>
      <c r="C23" s="10">
        <f>1163.34+2315.07</f>
        <v>3478.41</v>
      </c>
      <c r="D23" s="10">
        <f>732.15+1378.31</f>
        <v>2110.46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5588.87</v>
      </c>
    </row>
    <row r="24" spans="2:16" x14ac:dyDescent="0.35">
      <c r="B24" s="55" t="s">
        <v>40</v>
      </c>
      <c r="C24" s="56">
        <v>474.68</v>
      </c>
      <c r="D24" s="56">
        <v>218.32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693</v>
      </c>
    </row>
    <row r="25" spans="2:16" x14ac:dyDescent="0.35">
      <c r="B25" s="9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5">
      <c r="B26" s="8" t="s">
        <v>3</v>
      </c>
      <c r="C26" s="44">
        <f>SUM(C22:C25)</f>
        <v>9433.130000000001</v>
      </c>
      <c r="D26" s="44">
        <f t="shared" ref="D26:N26" si="2">SUM(D22:D25)</f>
        <v>9430.3499999999985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18863.48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23.069999999999709</v>
      </c>
      <c r="D28" s="47">
        <f t="shared" si="3"/>
        <v>-6414.1499999999978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-6391.0799999999981</v>
      </c>
    </row>
    <row r="30" spans="2:16" x14ac:dyDescent="0.35">
      <c r="B30" s="63" t="s">
        <v>37</v>
      </c>
      <c r="C30" s="54">
        <v>680</v>
      </c>
      <c r="D30" s="54">
        <v>840</v>
      </c>
      <c r="E30" s="54">
        <v>840</v>
      </c>
      <c r="F30" s="54">
        <v>680</v>
      </c>
      <c r="G30" s="54">
        <v>600</v>
      </c>
      <c r="H30" s="54">
        <v>640</v>
      </c>
      <c r="I30" s="54">
        <v>720</v>
      </c>
      <c r="J30" s="54">
        <v>840</v>
      </c>
      <c r="K30" s="54">
        <v>840</v>
      </c>
      <c r="L30" s="54">
        <v>920</v>
      </c>
      <c r="M30" s="54">
        <v>900</v>
      </c>
      <c r="N30" s="54">
        <v>1160</v>
      </c>
      <c r="P30" s="62">
        <f>SUM(C30:N30)</f>
        <v>9660</v>
      </c>
    </row>
    <row r="31" spans="2:16" x14ac:dyDescent="0.35">
      <c r="B31" s="63" t="s">
        <v>38</v>
      </c>
      <c r="C31" s="54">
        <v>331.2</v>
      </c>
      <c r="D31" s="54">
        <v>385.6</v>
      </c>
      <c r="E31" s="54">
        <v>285.60000000000002</v>
      </c>
      <c r="F31" s="54">
        <v>331.2</v>
      </c>
      <c r="G31" s="54">
        <v>304</v>
      </c>
      <c r="H31" s="54">
        <v>317.60000000000002</v>
      </c>
      <c r="I31" s="54">
        <v>344.8</v>
      </c>
      <c r="J31" s="54">
        <v>385.6</v>
      </c>
      <c r="K31" s="54">
        <v>385.6</v>
      </c>
      <c r="L31" s="54">
        <v>412.8</v>
      </c>
      <c r="M31" s="54">
        <v>406</v>
      </c>
      <c r="N31" s="54">
        <v>724.4</v>
      </c>
      <c r="P31" s="62">
        <f>SUM(C31:N31)</f>
        <v>4614.3999999999996</v>
      </c>
    </row>
    <row r="33" spans="14:16" x14ac:dyDescent="0.35">
      <c r="N33" s="54" t="s">
        <v>43</v>
      </c>
      <c r="P33" s="62">
        <f>(P30*0.34)+1330</f>
        <v>4614.3999999999996</v>
      </c>
    </row>
    <row r="34" spans="14:16" x14ac:dyDescent="0.35">
      <c r="N34" s="54" t="s">
        <v>44</v>
      </c>
      <c r="P34" s="62">
        <f>P33-P31</f>
        <v>0</v>
      </c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opLeftCell="A4"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23</v>
      </c>
      <c r="C2" s="68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510</v>
      </c>
    </row>
    <row r="6" spans="2:3" ht="24" customHeight="1" x14ac:dyDescent="0.35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33</v>
      </c>
      <c r="C2" s="69"/>
    </row>
    <row r="3" spans="2:3" ht="17" customHeight="1" x14ac:dyDescent="0.35">
      <c r="B3" s="38" t="s">
        <v>34</v>
      </c>
      <c r="C3" s="39">
        <f>('2023'!P27)+('2024'!P28)+'2025'!$P$28</f>
        <v>0.43000000000483851</v>
      </c>
    </row>
    <row r="4" spans="2:3" ht="17" customHeight="1" x14ac:dyDescent="0.35">
      <c r="B4" s="38" t="s">
        <v>39</v>
      </c>
      <c r="C4" s="40">
        <f>'2023'!P12+'2024'!P12</f>
        <v>53.5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70</vt:i4>
      </vt:variant>
    </vt:vector>
  </HeadingPairs>
  <TitlesOfParts>
    <vt:vector size="75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2025-02-18T14:50:43Z</dcterms:modified>
</cp:coreProperties>
</file>