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BFF37EF1-EAF7-4B84-AE5D-9F3CF5F1F033}" xr6:coauthVersionLast="47" xr6:coauthVersionMax="47" xr10:uidLastSave="{00000000-0000-0000-0000-000000000000}"/>
  <bookViews>
    <workbookView xWindow="204" yWindow="3228" windowWidth="17280" windowHeight="10728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'2024'!$B$35</definedName>
    <definedName name="FRAIS_KM" localSheetId="2">'2025'!$B$35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'2024'!$B$34</definedName>
    <definedName name="NOMBRE_KM" localSheetId="2">'2025'!$B$34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'2024'!$B$32</definedName>
    <definedName name="SOLDE" localSheetId="2">'2025'!$B$32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 localSheetId="2">'2025'!$B$27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KM" localSheetId="2">'2025'!$B$28</definedName>
    <definedName name="SORTIES_FRAIS_PEE_AMUNDI" localSheetId="0">'2023'!#REF!</definedName>
    <definedName name="SORTIES_FRAIS_PEE_AMUNDI" localSheetId="1">'2024'!$B$26</definedName>
    <definedName name="SORTIES_FRAIS_PEE_AMUNDI" localSheetId="2">'2025'!$B$26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CSG_CRDS" localSheetId="2">'2025'!$B$25</definedName>
    <definedName name="SORTIES_INTERESSEMENT_CSG_CRDS">'2024'!$B$25</definedName>
    <definedName name="SORTIES_INTERESSEMENT_NET" localSheetId="2">'2025'!$B$24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 localSheetId="2">'2025'!$B$30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0" i="16" l="1"/>
  <c r="J27" i="16"/>
  <c r="J25" i="16"/>
  <c r="J24" i="16"/>
  <c r="J26" i="16" s="1"/>
  <c r="J17" i="16"/>
  <c r="I27" i="16" l="1"/>
  <c r="I25" i="16"/>
  <c r="I24" i="16"/>
  <c r="I26" i="16" s="1"/>
  <c r="I17" i="16"/>
  <c r="I20" i="16" s="1"/>
  <c r="H25" i="16" l="1"/>
  <c r="H24" i="16"/>
  <c r="H26" i="16" s="1"/>
  <c r="H27" i="16"/>
  <c r="H17" i="16"/>
  <c r="H20" i="16" s="1"/>
  <c r="G27" i="16" l="1"/>
  <c r="G25" i="16"/>
  <c r="G24" i="16"/>
  <c r="G26" i="16" s="1"/>
  <c r="G17" i="16"/>
  <c r="F25" i="16" l="1"/>
  <c r="F24" i="16"/>
  <c r="F26" i="16" s="1"/>
  <c r="F27" i="16"/>
  <c r="F17" i="16"/>
  <c r="P35" i="16" l="1"/>
  <c r="P34" i="16"/>
  <c r="P37" i="16" s="1"/>
  <c r="N30" i="16"/>
  <c r="M30" i="16"/>
  <c r="L30" i="16"/>
  <c r="K30" i="16"/>
  <c r="J30" i="16"/>
  <c r="I30" i="16"/>
  <c r="H30" i="16"/>
  <c r="G30" i="16"/>
  <c r="F30" i="16"/>
  <c r="P29" i="16"/>
  <c r="P28" i="16"/>
  <c r="E27" i="16"/>
  <c r="D27" i="16"/>
  <c r="C27" i="16"/>
  <c r="E25" i="16"/>
  <c r="D25" i="16"/>
  <c r="C25" i="16"/>
  <c r="E24" i="16"/>
  <c r="D24" i="16"/>
  <c r="D26" i="16" s="1"/>
  <c r="C24" i="16"/>
  <c r="P23" i="16"/>
  <c r="N20" i="16"/>
  <c r="N32" i="16" s="1"/>
  <c r="M20" i="16"/>
  <c r="L20" i="16"/>
  <c r="K20" i="16"/>
  <c r="J20" i="16"/>
  <c r="H32" i="16"/>
  <c r="G20" i="16"/>
  <c r="F20" i="16"/>
  <c r="P18" i="16"/>
  <c r="E17" i="16"/>
  <c r="E20" i="16" s="1"/>
  <c r="D17" i="16"/>
  <c r="D20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5" i="15"/>
  <c r="P34" i="15"/>
  <c r="P37" i="15" s="1"/>
  <c r="P29" i="15"/>
  <c r="P28" i="15"/>
  <c r="N27" i="15"/>
  <c r="M27" i="15"/>
  <c r="L27" i="15"/>
  <c r="K27" i="15"/>
  <c r="K30" i="15" s="1"/>
  <c r="J27" i="15"/>
  <c r="J30" i="15" s="1"/>
  <c r="I27" i="15"/>
  <c r="I30" i="15" s="1"/>
  <c r="H27" i="15"/>
  <c r="H30" i="15" s="1"/>
  <c r="G27" i="15"/>
  <c r="G30" i="15" s="1"/>
  <c r="F27" i="15"/>
  <c r="F30" i="15" s="1"/>
  <c r="E27" i="15"/>
  <c r="E30" i="15" s="1"/>
  <c r="D27" i="15"/>
  <c r="D30" i="15" s="1"/>
  <c r="C27" i="15"/>
  <c r="N25" i="15"/>
  <c r="M25" i="15"/>
  <c r="L25" i="15"/>
  <c r="N24" i="15"/>
  <c r="M24" i="15"/>
  <c r="M26" i="15" s="1"/>
  <c r="L24" i="15"/>
  <c r="L26" i="15" s="1"/>
  <c r="P23" i="15"/>
  <c r="P18" i="15"/>
  <c r="N17" i="15"/>
  <c r="N20" i="15" s="1"/>
  <c r="M17" i="15"/>
  <c r="M20" i="15" s="1"/>
  <c r="L17" i="15"/>
  <c r="L20" i="15" s="1"/>
  <c r="K17" i="15"/>
  <c r="K20" i="15" s="1"/>
  <c r="J17" i="15"/>
  <c r="J20" i="15" s="1"/>
  <c r="I17" i="15"/>
  <c r="I20" i="15" s="1"/>
  <c r="H17" i="15"/>
  <c r="H20" i="15" s="1"/>
  <c r="G17" i="15"/>
  <c r="G20" i="15" s="1"/>
  <c r="F17" i="15"/>
  <c r="F20" i="15" s="1"/>
  <c r="E17" i="15"/>
  <c r="E20" i="15" s="1"/>
  <c r="E32" i="15" s="1"/>
  <c r="D17" i="15"/>
  <c r="D20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F27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P22" i="14"/>
  <c r="I19" i="14"/>
  <c r="H19" i="14"/>
  <c r="H27" i="14" s="1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I32" i="15" l="1"/>
  <c r="P27" i="15"/>
  <c r="C27" i="14"/>
  <c r="M32" i="16"/>
  <c r="I32" i="16"/>
  <c r="H32" i="15"/>
  <c r="P27" i="16"/>
  <c r="E27" i="14"/>
  <c r="K32" i="15"/>
  <c r="D32" i="15"/>
  <c r="P24" i="16"/>
  <c r="K32" i="16"/>
  <c r="G32" i="16"/>
  <c r="J27" i="14"/>
  <c r="F32" i="15"/>
  <c r="P38" i="15"/>
  <c r="L32" i="16"/>
  <c r="P25" i="16"/>
  <c r="N27" i="14"/>
  <c r="I27" i="14"/>
  <c r="P24" i="15"/>
  <c r="K27" i="14"/>
  <c r="P8" i="14"/>
  <c r="J32" i="15"/>
  <c r="P25" i="15"/>
  <c r="P8" i="15"/>
  <c r="P17" i="15"/>
  <c r="C30" i="15"/>
  <c r="C32" i="15"/>
  <c r="D27" i="14"/>
  <c r="P23" i="14"/>
  <c r="D30" i="16"/>
  <c r="D32" i="16" s="1"/>
  <c r="E26" i="16"/>
  <c r="E30" i="16" s="1"/>
  <c r="E32" i="16" s="1"/>
  <c r="P38" i="16"/>
  <c r="F32" i="16"/>
  <c r="C4" i="13"/>
  <c r="C5" i="13" s="1"/>
  <c r="P8" i="16"/>
  <c r="J32" i="16"/>
  <c r="P20" i="16"/>
  <c r="P19" i="14"/>
  <c r="M27" i="14"/>
  <c r="L27" i="14"/>
  <c r="P25" i="14"/>
  <c r="G32" i="15"/>
  <c r="P17" i="14"/>
  <c r="G27" i="14"/>
  <c r="L30" i="15"/>
  <c r="L32" i="15" s="1"/>
  <c r="M30" i="15"/>
  <c r="M32" i="15" s="1"/>
  <c r="P20" i="15"/>
  <c r="N26" i="15"/>
  <c r="N30" i="15" s="1"/>
  <c r="N32" i="15" s="1"/>
  <c r="P17" i="16"/>
  <c r="C26" i="16"/>
  <c r="P26" i="15" l="1"/>
  <c r="P27" i="14"/>
  <c r="P26" i="16"/>
  <c r="P30" i="15"/>
  <c r="P32" i="15"/>
  <c r="C30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<sst xmlns="http://schemas.openxmlformats.org/spreadsheetml/2006/main" count="132" uniqueCount="49">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</sst>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4" fontId="13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F2" workbookViewId="0">
      <selection activeCell="J3" sqref="J3:N3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8"/>
  <sheetViews>
    <sheetView topLeftCell="A4" workbookViewId="0">
      <selection activeCell="D30" sqref="D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211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214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3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214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>
        <f>N11*Params!$C$5*(1-Params!$C$3)-Params!$C$4</f>
        <v>12096.6</v>
      </c>
      <c r="O17" s="4"/>
      <c r="P17" s="41">
        <f>SUM(C17:N17)</f>
        <v>123134.40000000001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12096.6</v>
      </c>
      <c r="O20" s="5"/>
      <c r="P20" s="42">
        <f>SUM(C20:O20)</f>
        <v>123343.73000000001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>
        <v>5074.42</v>
      </c>
      <c r="O23" s="4"/>
      <c r="P23" s="43">
        <f>SUM(C23:N23)</f>
        <v>71095.209999999992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>
        <f>(6242.13/5)*(1-9.7%)</f>
        <v>1127.3286780000001</v>
      </c>
      <c r="O24" s="4"/>
      <c r="P24" s="43">
        <f t="shared" ref="P24:P26" si="2">SUM(C24:N24)</f>
        <v>3381.9860340000005</v>
      </c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69">
        <f>(6242.13/5)*9.7%</f>
        <v>121.09732199999998</v>
      </c>
      <c r="O25" s="4"/>
      <c r="P25" s="43">
        <f t="shared" si="2"/>
        <v>363.29196599999995</v>
      </c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69">
        <f>N24*0.02</f>
        <v>22.546573560000002</v>
      </c>
      <c r="O26" s="4"/>
      <c r="P26" s="43">
        <f t="shared" si="2"/>
        <v>67.639720680000011</v>
      </c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>
        <f>1167.71+2597.46</f>
        <v>3765.17</v>
      </c>
      <c r="O27" s="4"/>
      <c r="P27" s="43">
        <f>SUM(C27:N27)</f>
        <v>46285.219999999994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>
        <v>549.89800000000002</v>
      </c>
      <c r="O28" s="4"/>
      <c r="P28" s="43">
        <f>SUM(C28:N28)</f>
        <v>3992.5320000000002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>SUM(C29:N29)</f>
        <v>209.33</v>
      </c>
    </row>
    <row r="30" spans="2:16" x14ac:dyDescent="0.3">
      <c r="B30" s="8" t="s">
        <v>3</v>
      </c>
      <c r="C30" s="44">
        <f>SUM(C23:C28)</f>
        <v>10399.56</v>
      </c>
      <c r="D30" s="44">
        <f>SUM(D23:D29)</f>
        <v>10577.585999999999</v>
      </c>
      <c r="E30" s="44">
        <f t="shared" ref="E30:N30" si="3">SUM(E23:E29)</f>
        <v>10421.938</v>
      </c>
      <c r="F30" s="44">
        <f t="shared" si="3"/>
        <v>10399.56</v>
      </c>
      <c r="G30" s="44">
        <f t="shared" si="3"/>
        <v>10333.106000000002</v>
      </c>
      <c r="H30" s="44">
        <f t="shared" si="3"/>
        <v>10448.140000000001</v>
      </c>
      <c r="I30" s="44">
        <f t="shared" si="3"/>
        <v>10272.986000000001</v>
      </c>
      <c r="J30" s="44">
        <f t="shared" si="3"/>
        <v>10487.544</v>
      </c>
      <c r="K30" s="44">
        <f t="shared" si="3"/>
        <v>10463.407999999998</v>
      </c>
      <c r="L30" s="44">
        <f t="shared" si="3"/>
        <v>10489.73657356</v>
      </c>
      <c r="M30" s="44">
        <f t="shared" si="3"/>
        <v>10441.18457356</v>
      </c>
      <c r="N30" s="44">
        <f t="shared" si="3"/>
        <v>10660.46057356</v>
      </c>
      <c r="O30" s="4"/>
      <c r="P30" s="60">
        <f>SUM(C30:N30)</f>
        <v>125395.20972068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4">C20-C30</f>
        <v>1117.4400000000005</v>
      </c>
      <c r="D32" s="47">
        <f t="shared" si="4"/>
        <v>-590.05599999999868</v>
      </c>
      <c r="E32" s="47">
        <f t="shared" si="4"/>
        <v>1674.6620000000003</v>
      </c>
      <c r="F32" s="47">
        <f t="shared" si="4"/>
        <v>1117.4400000000005</v>
      </c>
      <c r="G32" s="47">
        <f t="shared" si="4"/>
        <v>-3452.9060000000009</v>
      </c>
      <c r="H32" s="47">
        <f t="shared" si="4"/>
        <v>1068.8599999999988</v>
      </c>
      <c r="I32" s="47">
        <f t="shared" si="4"/>
        <v>-6290.7860000000001</v>
      </c>
      <c r="J32" s="47">
        <f t="shared" si="4"/>
        <v>-3027.7439999999997</v>
      </c>
      <c r="K32" s="47">
        <f t="shared" si="4"/>
        <v>1633.1920000000027</v>
      </c>
      <c r="L32" s="47">
        <f t="shared" si="4"/>
        <v>2766.0634264400014</v>
      </c>
      <c r="M32" s="47">
        <f t="shared" si="4"/>
        <v>496.21542643999965</v>
      </c>
      <c r="N32" s="47">
        <f t="shared" si="4"/>
        <v>1436.1394264400005</v>
      </c>
      <c r="P32" s="59">
        <f>SUM(C32:O32)</f>
        <v>-2051.4797206799958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>
        <v>714</v>
      </c>
      <c r="P34" s="61">
        <f>SUM(C34:N34)</f>
        <v>7276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>
        <v>549.89800000000002</v>
      </c>
      <c r="P35" s="61">
        <f>SUM(C35:N35)</f>
        <v>3992.5320000000002</v>
      </c>
    </row>
    <row r="37" spans="2:16" x14ac:dyDescent="0.3">
      <c r="N37" s="54" t="s">
        <v>42</v>
      </c>
      <c r="P37" s="61">
        <f>(P34*0.357) + 1395</f>
        <v>3992.5319999999997</v>
      </c>
    </row>
    <row r="38" spans="2:16" x14ac:dyDescent="0.3">
      <c r="N38" s="54" t="s">
        <v>43</v>
      </c>
      <c r="P38" s="61">
        <f>P37-P35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8"/>
  <sheetViews>
    <sheetView tabSelected="1" topLeftCell="A3" workbookViewId="0">
      <selection activeCell="H20" sqref="H2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1" t="s">
        <v>9</v>
      </c>
    </row>
    <row r="2" spans="2:16" x14ac:dyDescent="0.3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18</v>
      </c>
      <c r="K6" s="37"/>
      <c r="L6" s="37"/>
      <c r="M6" s="37"/>
      <c r="N6" s="37"/>
      <c r="O6" s="36"/>
      <c r="P6" s="57">
        <f>SUM(C6:N6)</f>
        <v>144</v>
      </c>
    </row>
    <row r="7" spans="2:16" x14ac:dyDescent="0.3">
      <c r="B7" s="9" t="s">
        <v>21</v>
      </c>
      <c r="C7" s="37">
        <v>22</v>
      </c>
      <c r="D7" s="37">
        <v>16</v>
      </c>
      <c r="E7" s="37">
        <v>21</v>
      </c>
      <c r="F7" s="37">
        <v>19</v>
      </c>
      <c r="G7" s="37">
        <v>14</v>
      </c>
      <c r="H7" s="37">
        <v>21</v>
      </c>
      <c r="I7" s="37">
        <v>7</v>
      </c>
      <c r="J7" s="37">
        <v>14</v>
      </c>
      <c r="K7" s="37"/>
      <c r="L7" s="37"/>
      <c r="M7" s="37"/>
      <c r="N7" s="37"/>
      <c r="O7" s="36"/>
      <c r="P7" s="57">
        <f>SUM(C7:N7)</f>
        <v>134</v>
      </c>
    </row>
    <row r="8" spans="2:16" x14ac:dyDescent="0.3">
      <c r="B8" s="18" t="s">
        <v>22</v>
      </c>
      <c r="C8" s="63">
        <f t="shared" ref="C8:N8" si="0">C7-C6</f>
        <v>4</v>
      </c>
      <c r="D8" s="63">
        <f t="shared" si="0"/>
        <v>-2</v>
      </c>
      <c r="E8" s="63">
        <f t="shared" si="0"/>
        <v>3</v>
      </c>
      <c r="F8" s="63">
        <f t="shared" si="0"/>
        <v>1</v>
      </c>
      <c r="G8" s="63">
        <f t="shared" si="0"/>
        <v>-4</v>
      </c>
      <c r="H8" s="63">
        <f t="shared" si="0"/>
        <v>3</v>
      </c>
      <c r="I8" s="63">
        <f t="shared" si="0"/>
        <v>-11</v>
      </c>
      <c r="J8" s="63">
        <f t="shared" si="0"/>
        <v>-4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16</v>
      </c>
      <c r="E11" s="11">
        <v>21</v>
      </c>
      <c r="F11" s="11">
        <v>19</v>
      </c>
      <c r="G11" s="11">
        <v>14</v>
      </c>
      <c r="H11" s="11">
        <v>21</v>
      </c>
      <c r="I11" s="11">
        <v>7</v>
      </c>
      <c r="J11" s="11">
        <v>14</v>
      </c>
      <c r="K11" s="11"/>
      <c r="L11" s="11"/>
      <c r="M11" s="11"/>
      <c r="N11" s="11"/>
      <c r="P11" s="58">
        <f>SUM(C11:N11)</f>
        <v>134</v>
      </c>
    </row>
    <row r="12" spans="2:16" x14ac:dyDescent="0.3">
      <c r="B12" s="9" t="s">
        <v>16</v>
      </c>
      <c r="C12" s="12"/>
      <c r="D12" s="12">
        <v>4</v>
      </c>
      <c r="E12" s="12"/>
      <c r="F12" s="12">
        <v>2</v>
      </c>
      <c r="G12" s="12">
        <v>5</v>
      </c>
      <c r="H12" s="12"/>
      <c r="I12" s="12">
        <v>15</v>
      </c>
      <c r="J12" s="12">
        <v>6</v>
      </c>
      <c r="K12" s="12"/>
      <c r="L12" s="12"/>
      <c r="M12" s="12"/>
      <c r="N12" s="12"/>
      <c r="P12" s="58">
        <f>SUM(C12:N12)</f>
        <v>32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12676.2</v>
      </c>
      <c r="D17" s="10">
        <f>D11*Params!$C$5*(1-Params!$C$3)-Params!$C$4</f>
        <v>9198.6</v>
      </c>
      <c r="E17" s="10">
        <f>E11*Params!$C$5*(1-Params!$C$3)-Params!$C$4</f>
        <v>12096.6</v>
      </c>
      <c r="F17" s="10">
        <f>F11*Params!$C$5*(1-Params!$C$3)-Params!$C$4</f>
        <v>10937.4</v>
      </c>
      <c r="G17" s="10">
        <f>G11*Params!$C$5*(1-Params!$C$3)-Params!$C$4</f>
        <v>8039.4000000000005</v>
      </c>
      <c r="H17" s="10">
        <f>H11*Params!$C$5*(1-Params!$C$3)-Params!$C$4</f>
        <v>12096.6</v>
      </c>
      <c r="I17" s="10">
        <f>I11*Params!$C$5*(1-Params!$C$3)-Params!$C$4</f>
        <v>3982.2000000000003</v>
      </c>
      <c r="J17" s="10">
        <f>J11*Params!$C$5*(1-Params!$C$3)-Params!$C$4</f>
        <v>8039.4000000000005</v>
      </c>
      <c r="K17" s="10"/>
      <c r="L17" s="10"/>
      <c r="M17" s="10"/>
      <c r="N17" s="10"/>
      <c r="O17" s="4"/>
      <c r="P17" s="41">
        <f>SUM(C17:N17)</f>
        <v>77066.399999999994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>
        <v>24.8</v>
      </c>
      <c r="D19" s="64"/>
      <c r="E19" s="64"/>
      <c r="F19" s="64"/>
      <c r="G19" s="64"/>
      <c r="H19" s="64">
        <v>25</v>
      </c>
      <c r="I19" s="64">
        <v>14.73</v>
      </c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12701</v>
      </c>
      <c r="D20" s="28">
        <f t="shared" ref="C20:N20" si="1">SUM(D17:D18)</f>
        <v>9198.6</v>
      </c>
      <c r="E20" s="28">
        <f t="shared" si="1"/>
        <v>12096.6</v>
      </c>
      <c r="F20" s="28">
        <f t="shared" si="1"/>
        <v>10937.4</v>
      </c>
      <c r="G20" s="28">
        <f t="shared" si="1"/>
        <v>8039.4000000000005</v>
      </c>
      <c r="H20" s="28">
        <f>SUM(H17:H19)</f>
        <v>12121.6</v>
      </c>
      <c r="I20" s="28">
        <f>SUM(I17:I19)</f>
        <v>3996.9300000000003</v>
      </c>
      <c r="J20" s="28">
        <f t="shared" si="1"/>
        <v>8039.4000000000005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77130.929999999993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5072.1000000000004</v>
      </c>
      <c r="D23" s="10">
        <v>5072.1000000000004</v>
      </c>
      <c r="E23" s="10">
        <v>5072.1000000000004</v>
      </c>
      <c r="F23" s="10">
        <v>5072.1000000000004</v>
      </c>
      <c r="G23" s="10">
        <v>5072.1000000000004</v>
      </c>
      <c r="H23" s="10">
        <v>5072.1000000000004</v>
      </c>
      <c r="I23" s="10">
        <v>5072.1000000000004</v>
      </c>
      <c r="J23" s="10">
        <v>5072.1000000000004</v>
      </c>
      <c r="K23" s="10"/>
      <c r="L23" s="10"/>
      <c r="M23" s="10"/>
      <c r="N23" s="10"/>
      <c r="O23" s="4"/>
      <c r="P23" s="43">
        <f t="shared" ref="P23:P30" si="2">SUM(C23:N23)</f>
        <v>40576.799999999996</v>
      </c>
    </row>
    <row r="24" spans="2:16" x14ac:dyDescent="0.3">
      <c r="B24" s="66" t="s">
        <v>45</v>
      </c>
      <c r="C24" s="70">
        <f t="shared" ref="C24:J24" si="3">(6245.73/5)*(1-9.7%)</f>
        <v>1127.978838</v>
      </c>
      <c r="D24" s="70">
        <f t="shared" si="3"/>
        <v>1127.978838</v>
      </c>
      <c r="E24" s="70">
        <f t="shared" si="3"/>
        <v>1127.978838</v>
      </c>
      <c r="F24" s="70">
        <f t="shared" si="3"/>
        <v>1127.978838</v>
      </c>
      <c r="G24" s="70">
        <f t="shared" si="3"/>
        <v>1127.978838</v>
      </c>
      <c r="H24" s="70">
        <f t="shared" si="3"/>
        <v>1127.978838</v>
      </c>
      <c r="I24" s="70">
        <f t="shared" si="3"/>
        <v>1127.978838</v>
      </c>
      <c r="J24" s="70">
        <f t="shared" si="3"/>
        <v>1127.978838</v>
      </c>
      <c r="K24" s="10"/>
      <c r="L24" s="10"/>
      <c r="M24" s="10"/>
      <c r="N24" s="10"/>
      <c r="O24" s="4"/>
      <c r="P24" s="43">
        <f t="shared" si="2"/>
        <v>9023.830704</v>
      </c>
    </row>
    <row r="25" spans="2:16" x14ac:dyDescent="0.3">
      <c r="B25" s="67" t="s">
        <v>46</v>
      </c>
      <c r="C25" s="69">
        <f t="shared" ref="C25:J25" si="4">(6245.73/5)*9.7%</f>
        <v>121.16716199999998</v>
      </c>
      <c r="D25" s="69">
        <f t="shared" si="4"/>
        <v>121.16716199999998</v>
      </c>
      <c r="E25" s="69">
        <f t="shared" si="4"/>
        <v>121.16716199999998</v>
      </c>
      <c r="F25" s="69">
        <f t="shared" si="4"/>
        <v>121.16716199999998</v>
      </c>
      <c r="G25" s="69">
        <f t="shared" si="4"/>
        <v>121.16716199999998</v>
      </c>
      <c r="H25" s="69">
        <f t="shared" si="4"/>
        <v>121.16716199999998</v>
      </c>
      <c r="I25" s="69">
        <f t="shared" si="4"/>
        <v>121.16716199999998</v>
      </c>
      <c r="J25" s="69">
        <f t="shared" si="4"/>
        <v>121.16716199999998</v>
      </c>
      <c r="K25" s="10"/>
      <c r="L25" s="69"/>
      <c r="M25" s="69"/>
      <c r="N25" s="69"/>
      <c r="O25" s="4"/>
      <c r="P25" s="43">
        <f t="shared" si="2"/>
        <v>969.33729599999981</v>
      </c>
    </row>
    <row r="26" spans="2:16" x14ac:dyDescent="0.3">
      <c r="B26" s="68" t="s">
        <v>47</v>
      </c>
      <c r="C26" s="69">
        <f t="shared" ref="C26:H26" si="5">C24*0.02</f>
        <v>22.559576759999999</v>
      </c>
      <c r="D26" s="69">
        <f t="shared" si="5"/>
        <v>22.559576759999999</v>
      </c>
      <c r="E26" s="69">
        <f t="shared" si="5"/>
        <v>22.559576759999999</v>
      </c>
      <c r="F26" s="69">
        <f t="shared" si="5"/>
        <v>22.559576759999999</v>
      </c>
      <c r="G26" s="69">
        <f t="shared" si="5"/>
        <v>22.559576759999999</v>
      </c>
      <c r="H26" s="69">
        <f t="shared" si="5"/>
        <v>22.559576759999999</v>
      </c>
      <c r="I26" s="69">
        <f t="shared" ref="I26:J26" si="6">I24*0.02</f>
        <v>22.559576759999999</v>
      </c>
      <c r="J26" s="69">
        <f t="shared" si="6"/>
        <v>22.559576759999999</v>
      </c>
      <c r="K26" s="10"/>
      <c r="L26" s="69"/>
      <c r="M26" s="69"/>
      <c r="N26" s="69"/>
      <c r="O26" s="4"/>
      <c r="P26" s="43">
        <f t="shared" si="2"/>
        <v>180.47661407999999</v>
      </c>
    </row>
    <row r="27" spans="2:16" x14ac:dyDescent="0.3">
      <c r="B27" s="9" t="s">
        <v>8</v>
      </c>
      <c r="C27" s="10">
        <f>1173.63+2603.69</f>
        <v>3777.32</v>
      </c>
      <c r="D27" s="10">
        <f>1173.63+2603.69</f>
        <v>3777.32</v>
      </c>
      <c r="E27" s="10">
        <f>1173.63+2613.93</f>
        <v>3787.56</v>
      </c>
      <c r="F27" s="10">
        <f>1173.63+2603.69</f>
        <v>3777.32</v>
      </c>
      <c r="G27" s="10">
        <f>1173.63+2608.8</f>
        <v>3782.4300000000003</v>
      </c>
      <c r="H27" s="10">
        <f>1173.63+2616.48</f>
        <v>3790.11</v>
      </c>
      <c r="I27" s="10">
        <f>1173.63+2603.69</f>
        <v>3777.32</v>
      </c>
      <c r="J27" s="10">
        <f>1173.63+2642.1</f>
        <v>3815.73</v>
      </c>
      <c r="K27" s="10"/>
      <c r="L27" s="10"/>
      <c r="M27" s="10"/>
      <c r="N27" s="10"/>
      <c r="O27" s="4"/>
      <c r="P27" s="43">
        <f t="shared" si="2"/>
        <v>30285.11</v>
      </c>
    </row>
    <row r="28" spans="2:16" x14ac:dyDescent="0.3">
      <c r="B28" s="55" t="s">
        <v>40</v>
      </c>
      <c r="C28" s="10">
        <v>367.036</v>
      </c>
      <c r="D28" s="10">
        <v>294.20999999999998</v>
      </c>
      <c r="E28" s="10">
        <v>354.89800000000002</v>
      </c>
      <c r="F28" s="10">
        <v>330.62</v>
      </c>
      <c r="G28" s="10">
        <v>269.93</v>
      </c>
      <c r="H28" s="10">
        <v>354.9</v>
      </c>
      <c r="I28" s="10">
        <v>184.97</v>
      </c>
      <c r="J28" s="10">
        <v>269.93</v>
      </c>
      <c r="K28" s="10"/>
      <c r="L28" s="10"/>
      <c r="M28" s="10"/>
      <c r="N28" s="10"/>
      <c r="O28" s="4"/>
      <c r="P28" s="43">
        <f t="shared" si="2"/>
        <v>2426.4939999999997</v>
      </c>
    </row>
    <row r="29" spans="2:16" x14ac:dyDescent="0.3">
      <c r="B29" s="55" t="s">
        <v>44</v>
      </c>
      <c r="C29" s="64">
        <v>24.8</v>
      </c>
      <c r="D29" s="64"/>
      <c r="E29" s="64"/>
      <c r="F29" s="64"/>
      <c r="G29" s="64"/>
      <c r="H29" s="64">
        <v>25</v>
      </c>
      <c r="I29" s="64">
        <v>14.73</v>
      </c>
      <c r="J29" s="64"/>
      <c r="K29" s="64"/>
      <c r="L29" s="64"/>
      <c r="M29" s="64"/>
      <c r="N29" s="64"/>
      <c r="O29" s="4"/>
      <c r="P29" s="43">
        <f t="shared" si="2"/>
        <v>64.53</v>
      </c>
    </row>
    <row r="30" spans="2:16" x14ac:dyDescent="0.3">
      <c r="B30" s="8" t="s">
        <v>3</v>
      </c>
      <c r="C30" s="44">
        <f t="shared" ref="C30:N30" si="7">SUM(C23:C29)</f>
        <v>10512.961576759999</v>
      </c>
      <c r="D30" s="44">
        <f t="shared" si="7"/>
        <v>10415.335576759999</v>
      </c>
      <c r="E30" s="44">
        <f t="shared" si="7"/>
        <v>10486.263576759999</v>
      </c>
      <c r="F30" s="44">
        <f t="shared" si="7"/>
        <v>10451.74557676</v>
      </c>
      <c r="G30" s="44">
        <f t="shared" si="7"/>
        <v>10396.16557676</v>
      </c>
      <c r="H30" s="44">
        <f t="shared" si="7"/>
        <v>10513.81557676</v>
      </c>
      <c r="I30" s="44">
        <f t="shared" si="7"/>
        <v>10320.825576759999</v>
      </c>
      <c r="J30" s="44">
        <f t="shared" si="7"/>
        <v>10429.46557676</v>
      </c>
      <c r="K30" s="44">
        <f t="shared" si="7"/>
        <v>0</v>
      </c>
      <c r="L30" s="44">
        <f t="shared" si="7"/>
        <v>0</v>
      </c>
      <c r="M30" s="44">
        <f t="shared" si="7"/>
        <v>0</v>
      </c>
      <c r="N30" s="44">
        <f t="shared" si="7"/>
        <v>0</v>
      </c>
      <c r="O30" s="4"/>
      <c r="P30" s="60">
        <f t="shared" si="2"/>
        <v>83526.578614080005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8">C20-C30</f>
        <v>2188.0384232400011</v>
      </c>
      <c r="D32" s="47">
        <f t="shared" si="8"/>
        <v>-1216.7355767599984</v>
      </c>
      <c r="E32" s="47">
        <f t="shared" si="8"/>
        <v>1610.3364232400017</v>
      </c>
      <c r="F32" s="47">
        <f t="shared" si="8"/>
        <v>485.65442323999923</v>
      </c>
      <c r="G32" s="47">
        <f t="shared" si="8"/>
        <v>-2356.7655767599999</v>
      </c>
      <c r="H32" s="47">
        <f t="shared" si="8"/>
        <v>1607.7844232400003</v>
      </c>
      <c r="I32" s="47">
        <f t="shared" si="8"/>
        <v>-6323.8955767599982</v>
      </c>
      <c r="J32" s="47">
        <f t="shared" si="8"/>
        <v>-2390.0655767599992</v>
      </c>
      <c r="K32" s="47">
        <f t="shared" si="8"/>
        <v>0</v>
      </c>
      <c r="L32" s="47">
        <f t="shared" si="8"/>
        <v>0</v>
      </c>
      <c r="M32" s="47">
        <f t="shared" si="8"/>
        <v>0</v>
      </c>
      <c r="N32" s="47">
        <f t="shared" si="8"/>
        <v>0</v>
      </c>
      <c r="P32" s="59">
        <f>SUM(C32:O32)</f>
        <v>-6395.6486140799934</v>
      </c>
    </row>
    <row r="34" spans="2:16" x14ac:dyDescent="0.3">
      <c r="B34" s="62" t="s">
        <v>37</v>
      </c>
      <c r="C34" s="54">
        <v>748</v>
      </c>
      <c r="D34" s="54">
        <v>544</v>
      </c>
      <c r="E34" s="54">
        <v>714</v>
      </c>
      <c r="F34" s="54">
        <v>646</v>
      </c>
      <c r="G34" s="54">
        <v>476</v>
      </c>
      <c r="H34" s="54">
        <v>714</v>
      </c>
      <c r="I34" s="54">
        <v>238</v>
      </c>
      <c r="J34" s="54">
        <v>476</v>
      </c>
      <c r="K34" s="54"/>
      <c r="L34" s="54"/>
      <c r="M34" s="54"/>
      <c r="N34" s="54"/>
      <c r="P34" s="61">
        <f>SUM(C34:N34)</f>
        <v>4556</v>
      </c>
    </row>
    <row r="35" spans="2:16" x14ac:dyDescent="0.3">
      <c r="B35" s="62" t="s">
        <v>38</v>
      </c>
      <c r="C35" s="54">
        <v>367.036</v>
      </c>
      <c r="D35" s="54">
        <v>294.20999999999998</v>
      </c>
      <c r="E35" s="54">
        <v>354.89800000000002</v>
      </c>
      <c r="F35" s="54">
        <v>330.62</v>
      </c>
      <c r="G35" s="54">
        <v>269.93</v>
      </c>
      <c r="H35" s="54">
        <v>354.9</v>
      </c>
      <c r="I35" s="54">
        <v>184.97</v>
      </c>
      <c r="J35" s="54">
        <v>269.93</v>
      </c>
      <c r="K35" s="54"/>
      <c r="L35" s="54"/>
      <c r="M35" s="54"/>
      <c r="N35" s="54"/>
      <c r="P35" s="61">
        <f>SUM(C35:N35)</f>
        <v>2426.4939999999997</v>
      </c>
    </row>
    <row r="37" spans="2:16" x14ac:dyDescent="0.3">
      <c r="N37" s="54" t="s">
        <v>42</v>
      </c>
      <c r="P37" s="61">
        <f>(P34*0.357) + 1395</f>
        <v>3021.4920000000002</v>
      </c>
    </row>
    <row r="38" spans="2:16" x14ac:dyDescent="0.3">
      <c r="N38" s="54" t="s">
        <v>43</v>
      </c>
      <c r="P38" s="61">
        <f>P37-P35</f>
        <v>594.9980000000005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3" t="s">
        <v>23</v>
      </c>
      <c r="C2" s="74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B15" sqref="B1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5" t="s">
        <v>33</v>
      </c>
      <c r="C2" s="75"/>
    </row>
    <row r="3" spans="2:3" ht="16.95" customHeight="1" x14ac:dyDescent="0.3">
      <c r="B3" s="38" t="s">
        <v>34</v>
      </c>
      <c r="C3" s="39">
        <f>'2023'!P27+'2024'!P32+'2025'!P32</f>
        <v>-2010.3583347599888</v>
      </c>
    </row>
    <row r="4" spans="2:3" ht="16.95" customHeight="1" x14ac:dyDescent="0.3">
      <c r="B4" s="38" t="s">
        <v>39</v>
      </c>
      <c r="C4" s="40">
        <f>'2023'!P12+'2024'!P12+'2025'!P12</f>
        <v>73</v>
      </c>
    </row>
    <row r="5" spans="2:3" x14ac:dyDescent="0.3">
      <c r="B5" t="s">
        <v>48</v>
      </c>
      <c r="C5">
        <f>(25*2.92)-C4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2025-09-11T10:43:22Z</dcterms:modified>
</cp:coreProperties>
</file>