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99365C35-BB83-4276-8D1E-22D6CE64607E}" xr6:coauthVersionLast="47" xr6:coauthVersionMax="47" xr10:uidLastSave="{00000000-0000-0000-0000-000000000000}"/>
  <bookViews>
    <workbookView xWindow="384" yWindow="384" windowWidth="17280" windowHeight="10728" activeTab="2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'2024'!$B$16</definedName>
    <definedName name="CRA_ASTREINTE" localSheetId="2">'2025'!$B$16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'2024'!$B$15</definedName>
    <definedName name="CRA_SANS_SOLDE" localSheetId="2">'2025'!$B$15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'2024'!$B$18</definedName>
    <definedName name="ENTREES" localSheetId="2">'2025'!$B$18</definedName>
    <definedName name="ENTREES">#REF!</definedName>
    <definedName name="ENTREES_ASTREINTE" localSheetId="0">'2023'!$B$18</definedName>
    <definedName name="ENTREES_ASTREINTE" localSheetId="1">'2024'!$B$20</definedName>
    <definedName name="ENTREES_ASTREINTE" localSheetId="2">'2025'!$B$20</definedName>
    <definedName name="ENTREES_ASTREINTE">#REF!</definedName>
    <definedName name="ENTREES_FACTURE" localSheetId="0">'2023'!$B$17</definedName>
    <definedName name="ENTREES_FACTURE" localSheetId="1">'2024'!$B$19</definedName>
    <definedName name="ENTREES_FACTURE" localSheetId="2">'2025'!$B$19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'2024'!$B$36</definedName>
    <definedName name="FRAIS_KM" localSheetId="2">'2025'!$B$36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'2024'!$B$35</definedName>
    <definedName name="NOMBRE_KM" localSheetId="2">'2025'!$B$35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'2024'!$B$33</definedName>
    <definedName name="SOLDE" localSheetId="2">'2025'!$B$33</definedName>
    <definedName name="SORTIES" localSheetId="0">'2023'!$B$21</definedName>
    <definedName name="SORTIES" localSheetId="1">'2024'!$B$23</definedName>
    <definedName name="SORTIES" localSheetId="2">'2025'!$B$23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'2024'!$B$25</definedName>
    <definedName name="SORTIES_CHARGES_SOCIALES_PATRONALES" localSheetId="2">'2025'!$B$25</definedName>
    <definedName name="SORTIES_CHARGES_SOCIALES_PATRONALES">#REF!</definedName>
    <definedName name="SORTIES_FRAIS_KM" localSheetId="0">'2023'!$B$24</definedName>
    <definedName name="SORTIES_FRAIS_KM" localSheetId="1">'2024'!$B$26</definedName>
    <definedName name="SORTIES_FRAIS_KM" localSheetId="2">'2025'!$B$26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'2024'!$B$24</definedName>
    <definedName name="SORTIES_SALAIRE_NET" localSheetId="2">'2025'!$B$24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'2024'!$B$21</definedName>
    <definedName name="TOTAL_ENTREES" localSheetId="2">'2025'!$B$21</definedName>
    <definedName name="TOTAL_ENTREES">#REF!</definedName>
    <definedName name="TOTAL_SORTIES" localSheetId="0">'2023'!$B$26</definedName>
    <definedName name="TOTAL_SORTIES" localSheetId="1">'2024'!$B$29</definedName>
    <definedName name="TOTAL_SORTIES" localSheetId="2">'2025'!$B$29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5" i="16" l="1"/>
  <c r="J19" i="16"/>
  <c r="I25" i="16" l="1"/>
  <c r="I19" i="16"/>
  <c r="D19" i="16" l="1"/>
  <c r="E19" i="16"/>
  <c r="F19" i="16"/>
  <c r="G19" i="16"/>
  <c r="H19" i="16"/>
  <c r="C19" i="16"/>
  <c r="H25" i="16"/>
  <c r="G25" i="16" l="1"/>
  <c r="F25" i="16" l="1"/>
  <c r="P36" i="16" l="1"/>
  <c r="P35" i="16"/>
  <c r="P31" i="16"/>
  <c r="N29" i="16"/>
  <c r="M29" i="16"/>
  <c r="L29" i="16"/>
  <c r="K29" i="16"/>
  <c r="J29" i="16"/>
  <c r="I29" i="16"/>
  <c r="H29" i="16"/>
  <c r="G29" i="16"/>
  <c r="F29" i="16"/>
  <c r="P28" i="16"/>
  <c r="P27" i="16"/>
  <c r="P26" i="16"/>
  <c r="E25" i="16"/>
  <c r="E29" i="16" s="1"/>
  <c r="D25" i="16"/>
  <c r="D29" i="16" s="1"/>
  <c r="C25" i="16"/>
  <c r="P24" i="16"/>
  <c r="N21" i="16"/>
  <c r="N33" i="16" s="1"/>
  <c r="M21" i="16"/>
  <c r="M33" i="16" s="1"/>
  <c r="L21" i="16"/>
  <c r="K21" i="16"/>
  <c r="K33" i="16" s="1"/>
  <c r="J21" i="16"/>
  <c r="I21" i="16"/>
  <c r="H21" i="16"/>
  <c r="H33" i="16" s="1"/>
  <c r="G21" i="16"/>
  <c r="F21" i="16"/>
  <c r="P20" i="16"/>
  <c r="E21" i="16"/>
  <c r="D21" i="16"/>
  <c r="C21" i="16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6" i="15"/>
  <c r="P35" i="15"/>
  <c r="P38" i="15" s="1"/>
  <c r="P31" i="15"/>
  <c r="P28" i="15"/>
  <c r="P27" i="15"/>
  <c r="P26" i="15"/>
  <c r="N25" i="15"/>
  <c r="N29" i="15" s="1"/>
  <c r="M25" i="15"/>
  <c r="M29" i="15" s="1"/>
  <c r="L25" i="15"/>
  <c r="L29" i="15" s="1"/>
  <c r="K25" i="15"/>
  <c r="K29" i="15" s="1"/>
  <c r="J25" i="15"/>
  <c r="J29" i="15" s="1"/>
  <c r="I25" i="15"/>
  <c r="I29" i="15" s="1"/>
  <c r="H25" i="15"/>
  <c r="H29" i="15" s="1"/>
  <c r="G25" i="15"/>
  <c r="G29" i="15" s="1"/>
  <c r="F25" i="15"/>
  <c r="F29" i="15" s="1"/>
  <c r="E25" i="15"/>
  <c r="E29" i="15" s="1"/>
  <c r="D25" i="15"/>
  <c r="D29" i="15" s="1"/>
  <c r="C25" i="15"/>
  <c r="P24" i="15"/>
  <c r="P20" i="15"/>
  <c r="N19" i="15"/>
  <c r="N21" i="15" s="1"/>
  <c r="M19" i="15"/>
  <c r="M21" i="15" s="1"/>
  <c r="L19" i="15"/>
  <c r="L21" i="15" s="1"/>
  <c r="K19" i="15"/>
  <c r="K21" i="15" s="1"/>
  <c r="J19" i="15"/>
  <c r="J21" i="15" s="1"/>
  <c r="I19" i="15"/>
  <c r="I21" i="15" s="1"/>
  <c r="H19" i="15"/>
  <c r="H21" i="15" s="1"/>
  <c r="G19" i="15"/>
  <c r="G21" i="15" s="1"/>
  <c r="F19" i="15"/>
  <c r="F21" i="15" s="1"/>
  <c r="F33" i="15" s="1"/>
  <c r="E19" i="15"/>
  <c r="E21" i="15" s="1"/>
  <c r="D19" i="15"/>
  <c r="D21" i="15" s="1"/>
  <c r="C19" i="15"/>
  <c r="C21" i="15" s="1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I26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L26" i="14" s="1"/>
  <c r="K23" i="14"/>
  <c r="K26" i="14" s="1"/>
  <c r="J23" i="14"/>
  <c r="J26" i="14" s="1"/>
  <c r="P22" i="14"/>
  <c r="I19" i="14"/>
  <c r="H19" i="14"/>
  <c r="G19" i="14"/>
  <c r="F19" i="14"/>
  <c r="E19" i="14"/>
  <c r="D19" i="14"/>
  <c r="C19" i="14"/>
  <c r="P18" i="14"/>
  <c r="N17" i="14"/>
  <c r="N19" i="14" s="1"/>
  <c r="M17" i="14"/>
  <c r="M19" i="14" s="1"/>
  <c r="L17" i="14"/>
  <c r="L19" i="14" s="1"/>
  <c r="K17" i="14"/>
  <c r="K19" i="14" s="1"/>
  <c r="J17" i="14"/>
  <c r="J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H33" i="15" l="1"/>
  <c r="H28" i="14"/>
  <c r="E33" i="16"/>
  <c r="D28" i="14"/>
  <c r="G33" i="16"/>
  <c r="P25" i="16"/>
  <c r="N33" i="15"/>
  <c r="I33" i="16"/>
  <c r="N28" i="14"/>
  <c r="G33" i="15"/>
  <c r="I28" i="14"/>
  <c r="D33" i="15"/>
  <c r="L33" i="15"/>
  <c r="P39" i="15"/>
  <c r="F33" i="16"/>
  <c r="E28" i="14"/>
  <c r="F28" i="14"/>
  <c r="L28" i="14"/>
  <c r="C4" i="13"/>
  <c r="C5" i="13" s="1"/>
  <c r="P19" i="14"/>
  <c r="P25" i="15"/>
  <c r="K33" i="15"/>
  <c r="D33" i="16"/>
  <c r="J33" i="16"/>
  <c r="P8" i="15"/>
  <c r="P8" i="14"/>
  <c r="J28" i="14"/>
  <c r="K28" i="14"/>
  <c r="G28" i="14"/>
  <c r="C29" i="16"/>
  <c r="C33" i="16" s="1"/>
  <c r="I33" i="15"/>
  <c r="M33" i="15"/>
  <c r="L33" i="16"/>
  <c r="P8" i="16"/>
  <c r="P21" i="16"/>
  <c r="M28" i="14"/>
  <c r="J33" i="15"/>
  <c r="P26" i="14"/>
  <c r="E33" i="15"/>
  <c r="P21" i="15"/>
  <c r="P19" i="16"/>
  <c r="P23" i="14"/>
  <c r="C28" i="14"/>
  <c r="P19" i="15"/>
  <c r="C29" i="15"/>
  <c r="P17" i="14"/>
  <c r="P29" i="16" l="1"/>
  <c r="P33" i="16"/>
  <c r="P29" i="15"/>
  <c r="C33" i="15"/>
  <c r="P33" i="15" s="1"/>
  <c r="P28" i="14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0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J20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le Salaire</t>
        </r>
      </text>
    </comment>
    <comment ref="C28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375 EUROS en Janvier et 375 EUROS en Février</t>
        </r>
      </text>
    </comment>
  </commentList>
</comments>
</file>

<file path=xl/sharedStrings.xml><?xml version="1.0" encoding="utf-8"?>
<sst xmlns="http://schemas.openxmlformats.org/spreadsheetml/2006/main" count="130" uniqueCount="50">
  <si>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</si>
  <si>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</si>
  <si>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</si>
  <si>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</si>
  <si>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</si>
  <si>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</si>
  <si>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</si>
  <si>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</si>
  <si>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</si>
  <si>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</si>
  <si>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</si>
  <si>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</si>
  <si>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</si>
  <si>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</si>
  <si>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</si>
  <si>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</si>
  <si>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</si>
  <si>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</si>
  <si>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</si>
  <si>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</si>
  <si>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</si>
  <si>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</si>
  <si>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</si>
  <si>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</si>
  <si>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</si>
  <si>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</si>
  <si>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</si>
  <si>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</si>
  <si>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</si>
  <si>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</si>
  <si>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</si>
  <si>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</si>
  <si>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</si>
  <si>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</si>
  <si>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</si>
  <si>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</si>
  <si>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</si>
  <si>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</si>
  <si>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</si>
  <si>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</si>
  <si>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</si>
  <si>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</si>
  <si>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</si>
  <si>
    <t>Acompte versé</t>
  </si>
  <si>
    <t>Acompte Remboursé</t>
  </si>
  <si>
    <t>Exceptionnelle</t>
  </si>
  <si>
    <t>Paternité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</si>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</sst>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0" borderId="6" xfId="0" applyFont="1" applyBorder="1"/>
    <xf numFmtId="4" fontId="1" fillId="0" borderId="1" xfId="0" applyNumberFormat="1" applyFont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D1" workbookViewId="0">
      <selection activeCell="M17" sqref="M17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11</v>
      </c>
      <c r="O6" s="36"/>
      <c r="P6" s="57">
        <f>SUM(C6:N6)</f>
        <v>87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16</v>
      </c>
      <c r="K7" s="37">
        <v>8</v>
      </c>
      <c r="L7" s="37">
        <v>22</v>
      </c>
      <c r="M7" s="37">
        <v>21</v>
      </c>
      <c r="N7" s="37">
        <v>20</v>
      </c>
      <c r="O7" s="36"/>
      <c r="P7" s="57">
        <f>SUM(C7:N7)</f>
        <v>87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-3</v>
      </c>
      <c r="K8" s="63">
        <f t="shared" si="0"/>
        <v>-11</v>
      </c>
      <c r="L8" s="63">
        <f t="shared" si="0"/>
        <v>3</v>
      </c>
      <c r="M8" s="63">
        <f t="shared" si="0"/>
        <v>2</v>
      </c>
      <c r="N8" s="63">
        <f t="shared" si="0"/>
        <v>9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16.5</v>
      </c>
      <c r="K11" s="11">
        <v>8</v>
      </c>
      <c r="L11" s="11">
        <v>22</v>
      </c>
      <c r="M11" s="11">
        <v>21</v>
      </c>
      <c r="N11" s="11">
        <v>20</v>
      </c>
      <c r="P11" s="58">
        <f>SUM(C11:N11)</f>
        <v>87.5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5.5</v>
      </c>
      <c r="K12" s="12">
        <v>13</v>
      </c>
      <c r="L12" s="12"/>
      <c r="M12" s="12"/>
      <c r="N12" s="12"/>
      <c r="P12" s="58">
        <f>SUM(C12:N12)</f>
        <v>18.5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J11*Params!$C$6*(1-Params!$C$3)-Params!$C$5</f>
        <v>7515</v>
      </c>
      <c r="K17" s="10">
        <f>K11*Params!$C$6*(1-Params!$C$3)-Params!$C$5</f>
        <v>3605</v>
      </c>
      <c r="L17" s="10">
        <f>L11*Params!$C$6*(1-Params!$C$3)-Params!$C$5</f>
        <v>10045</v>
      </c>
      <c r="M17" s="10">
        <f>M11*Params!$C$6*(1-Params!$C$3)-Params!$C$5</f>
        <v>9585</v>
      </c>
      <c r="N17" s="10">
        <f>N11*Params!$C$6*(1-Params!$C$3)-Params!$C$5</f>
        <v>9125</v>
      </c>
      <c r="O17" s="4"/>
      <c r="P17" s="41">
        <f>SUM(C17:N17)</f>
        <v>39875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750</v>
      </c>
      <c r="N18" s="10"/>
      <c r="O18" s="4"/>
      <c r="P18" s="41">
        <f>SUM(C18:N18)</f>
        <v>750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7515</v>
      </c>
      <c r="K19" s="28">
        <f t="shared" si="1"/>
        <v>3605</v>
      </c>
      <c r="L19" s="28">
        <f t="shared" si="1"/>
        <v>10045</v>
      </c>
      <c r="M19" s="28">
        <f t="shared" si="1"/>
        <v>10335</v>
      </c>
      <c r="N19" s="28">
        <f t="shared" si="1"/>
        <v>9125</v>
      </c>
      <c r="O19" s="5"/>
      <c r="P19" s="42">
        <f>SUM(C19:N19)</f>
        <v>40625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5285.8</v>
      </c>
      <c r="K22" s="10">
        <v>5285.8</v>
      </c>
      <c r="L22" s="10">
        <v>5285.8</v>
      </c>
      <c r="M22" s="10">
        <v>5285.8</v>
      </c>
      <c r="N22" s="10">
        <v>5200.67</v>
      </c>
      <c r="O22" s="4"/>
      <c r="P22" s="43">
        <f>SUM(C22:N22)</f>
        <v>26343.870000000003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1092.2+1850.91</f>
        <v>2943.11</v>
      </c>
      <c r="K23" s="10">
        <f>1092.2+1865.37</f>
        <v>2957.5699999999997</v>
      </c>
      <c r="L23" s="10">
        <f>1092.2+1885.11</f>
        <v>2977.31</v>
      </c>
      <c r="M23" s="10">
        <f>1092.2+1850.91</f>
        <v>2943.11</v>
      </c>
      <c r="N23" s="10">
        <f>1082.29+1823.32</f>
        <v>2905.6099999999997</v>
      </c>
      <c r="O23" s="4"/>
      <c r="P23" s="43">
        <f>SUM(C23:N23)</f>
        <v>14726.71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403.45</v>
      </c>
      <c r="K24" s="10">
        <v>242.8</v>
      </c>
      <c r="L24" s="10">
        <v>492.7</v>
      </c>
      <c r="M24" s="10">
        <v>474.85</v>
      </c>
      <c r="N24" s="10">
        <v>474.85</v>
      </c>
      <c r="O24" s="4"/>
      <c r="P24" s="43">
        <f>SUM(C24:N24)</f>
        <v>2088.65</v>
      </c>
    </row>
    <row r="25" spans="2:16" x14ac:dyDescent="0.3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749.17</v>
      </c>
      <c r="K25" s="64"/>
      <c r="L25" s="64"/>
      <c r="M25" s="64"/>
      <c r="N25" s="64"/>
      <c r="O25" s="4"/>
      <c r="P25" s="43">
        <f>SUM(C25:N25)</f>
        <v>749.17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9381.5300000000007</v>
      </c>
      <c r="K26" s="44">
        <f t="shared" si="2"/>
        <v>8486.1699999999983</v>
      </c>
      <c r="L26" s="44">
        <f t="shared" si="2"/>
        <v>8755.8100000000013</v>
      </c>
      <c r="M26" s="44">
        <f t="shared" si="2"/>
        <v>8703.76</v>
      </c>
      <c r="N26" s="44">
        <f t="shared" si="2"/>
        <v>8581.1299999999992</v>
      </c>
      <c r="O26" s="4"/>
      <c r="P26" s="60">
        <f>SUM(C26:N26)</f>
        <v>43908.399999999994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-1866.5300000000007</v>
      </c>
      <c r="K28" s="47">
        <f t="shared" si="3"/>
        <v>-4881.1699999999983</v>
      </c>
      <c r="L28" s="47">
        <f t="shared" si="3"/>
        <v>1289.1899999999987</v>
      </c>
      <c r="M28" s="47">
        <f t="shared" si="3"/>
        <v>1631.2399999999998</v>
      </c>
      <c r="N28" s="47">
        <f t="shared" si="3"/>
        <v>543.8700000000008</v>
      </c>
      <c r="P28" s="59">
        <f>SUM(C28:N28)</f>
        <v>-3283.3999999999996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>
        <v>850</v>
      </c>
      <c r="K30" s="54">
        <v>400</v>
      </c>
      <c r="L30" s="54">
        <v>1100</v>
      </c>
      <c r="M30" s="54">
        <v>1050</v>
      </c>
      <c r="N30" s="54">
        <v>1000</v>
      </c>
      <c r="P30" s="61">
        <f>SUM(C30:N30)</f>
        <v>4400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>
        <v>403.45</v>
      </c>
      <c r="K31" s="54">
        <v>242.8</v>
      </c>
      <c r="L31" s="54">
        <v>492.7</v>
      </c>
      <c r="M31" s="54">
        <v>474.85</v>
      </c>
      <c r="N31" s="54">
        <v>474.85</v>
      </c>
      <c r="P31" s="61">
        <f>SUM(C31:N31)</f>
        <v>2088.65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workbookViewId="0">
      <selection activeCell="F21" sqref="F21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14</v>
      </c>
      <c r="N6" s="37">
        <v>13</v>
      </c>
      <c r="O6" s="36"/>
      <c r="P6" s="57">
        <f>SUM(C6:N6)</f>
        <v>217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18</v>
      </c>
      <c r="H7" s="37">
        <v>20</v>
      </c>
      <c r="I7" s="37">
        <v>21</v>
      </c>
      <c r="J7" s="37">
        <v>20</v>
      </c>
      <c r="K7" s="37">
        <v>8</v>
      </c>
      <c r="L7" s="37">
        <v>18</v>
      </c>
      <c r="M7" s="37">
        <v>14</v>
      </c>
      <c r="N7" s="37">
        <v>13</v>
      </c>
      <c r="O7" s="36"/>
      <c r="P7" s="57">
        <f>SUM(C7:N7)</f>
        <v>217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1</v>
      </c>
      <c r="I8" s="63">
        <f t="shared" si="0"/>
        <v>2</v>
      </c>
      <c r="J8" s="63">
        <f t="shared" si="0"/>
        <v>1</v>
      </c>
      <c r="K8" s="63">
        <f t="shared" si="0"/>
        <v>-11</v>
      </c>
      <c r="L8" s="63">
        <f t="shared" si="0"/>
        <v>-1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17.5</v>
      </c>
      <c r="H11" s="11">
        <v>19.5</v>
      </c>
      <c r="I11" s="11">
        <v>21</v>
      </c>
      <c r="J11" s="11">
        <v>20</v>
      </c>
      <c r="K11" s="11">
        <v>8</v>
      </c>
      <c r="L11" s="11">
        <v>18</v>
      </c>
      <c r="M11" s="11">
        <v>14</v>
      </c>
      <c r="N11" s="11">
        <v>13</v>
      </c>
      <c r="P11" s="58">
        <f t="shared" ref="P11:P16" si="1">SUM(C11:N11)</f>
        <v>216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>
        <v>0.5</v>
      </c>
      <c r="I12" s="12">
        <v>2</v>
      </c>
      <c r="J12" s="12">
        <v>1</v>
      </c>
      <c r="K12" s="12">
        <v>2</v>
      </c>
      <c r="L12" s="12">
        <v>5</v>
      </c>
      <c r="M12" s="12">
        <v>0</v>
      </c>
      <c r="N12" s="12">
        <v>5</v>
      </c>
      <c r="P12" s="58">
        <f t="shared" si="1"/>
        <v>17.5</v>
      </c>
    </row>
    <row r="13" spans="2:16" x14ac:dyDescent="0.3">
      <c r="B13" s="9" t="s">
        <v>45</v>
      </c>
      <c r="C13" s="12"/>
      <c r="D13" s="12"/>
      <c r="E13" s="12"/>
      <c r="F13" s="12"/>
      <c r="G13" s="12"/>
      <c r="H13" s="12"/>
      <c r="I13" s="12"/>
      <c r="J13" s="12"/>
      <c r="K13" s="12">
        <v>3</v>
      </c>
      <c r="L13" s="12"/>
      <c r="M13" s="12"/>
      <c r="N13" s="12"/>
      <c r="P13" s="58">
        <f t="shared" si="1"/>
        <v>3</v>
      </c>
    </row>
    <row r="14" spans="2:16" x14ac:dyDescent="0.3">
      <c r="B14" s="9" t="s">
        <v>46</v>
      </c>
      <c r="C14" s="12"/>
      <c r="D14" s="12"/>
      <c r="E14" s="12"/>
      <c r="F14" s="12"/>
      <c r="G14" s="12"/>
      <c r="H14" s="12"/>
      <c r="I14" s="12"/>
      <c r="J14" s="12"/>
      <c r="K14" s="12">
        <v>9</v>
      </c>
      <c r="L14" s="12"/>
      <c r="M14" s="12">
        <v>5</v>
      </c>
      <c r="N14" s="12">
        <v>3</v>
      </c>
      <c r="P14" s="58">
        <f t="shared" si="1"/>
        <v>17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>
        <v>1</v>
      </c>
      <c r="G16" s="23"/>
      <c r="H16" s="23"/>
      <c r="I16" s="23"/>
      <c r="J16" s="23"/>
      <c r="K16" s="23"/>
      <c r="L16" s="23"/>
      <c r="M16" s="23"/>
      <c r="N16" s="23"/>
      <c r="P16" s="58">
        <f t="shared" si="1"/>
        <v>1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C11*Params!$C$6*(1-Params!$C$3)-Params!$C$5</f>
        <v>10045</v>
      </c>
      <c r="D19" s="10">
        <f>D11*Params!$C$6*(1-Params!$C$3)-Params!$C$5</f>
        <v>9585</v>
      </c>
      <c r="E19" s="10">
        <f>E11*Params!$C$6*(1-Params!$C$3)-Params!$C$5</f>
        <v>9585</v>
      </c>
      <c r="F19" s="10">
        <f>F11*Params!$C$6*(1-Params!$C$3)-Params!$C$5</f>
        <v>9585</v>
      </c>
      <c r="G19" s="10">
        <f>G11*Params!$C$6*(1-Params!$C$3)-Params!$C$5</f>
        <v>7975</v>
      </c>
      <c r="H19" s="10">
        <f>H11*Params!$C$6*(1-Params!$C$3)-Params!$C$5</f>
        <v>8895</v>
      </c>
      <c r="I19" s="10">
        <f>I11*Params!$C$6*(1-Params!$C$3)-Params!$C$5</f>
        <v>9585</v>
      </c>
      <c r="J19" s="10">
        <f>J11*Params!$C$6*(1-Params!$C$3)-Params!$C$5</f>
        <v>9125</v>
      </c>
      <c r="K19" s="10">
        <f>K11*Params!$C$6*(1-Params!$C$3)-Params!$C$5</f>
        <v>3605</v>
      </c>
      <c r="L19" s="10">
        <f>L11*Params!$C$6*(1-Params!$C$3)-Params!$C$5</f>
        <v>8205</v>
      </c>
      <c r="M19" s="10">
        <f>M11*Params!$C$6*(1-Params!$C$3)-Params!$C$5</f>
        <v>6365</v>
      </c>
      <c r="N19" s="10">
        <f>N11*Params!$C$6*(1-Params!$C$3)-Params!$C$5</f>
        <v>5905</v>
      </c>
      <c r="O19" s="4"/>
      <c r="P19" s="41">
        <f>SUM(C19:N19)</f>
        <v>98460</v>
      </c>
    </row>
    <row r="20" spans="2:16" x14ac:dyDescent="0.3">
      <c r="B20" s="9" t="s">
        <v>15</v>
      </c>
      <c r="C20" s="10"/>
      <c r="D20" s="10"/>
      <c r="E20" s="10"/>
      <c r="F20" s="10">
        <v>750</v>
      </c>
      <c r="G20" s="10"/>
      <c r="H20" s="10"/>
      <c r="I20" s="10"/>
      <c r="J20" s="10">
        <v>750</v>
      </c>
      <c r="K20" s="10"/>
      <c r="L20" s="10"/>
      <c r="M20" s="10"/>
      <c r="N20" s="10"/>
      <c r="O20" s="4"/>
      <c r="P20" s="41">
        <f>SUM(C20:N20)</f>
        <v>1500</v>
      </c>
    </row>
    <row r="21" spans="2:16" x14ac:dyDescent="0.3">
      <c r="B21" s="27" t="s">
        <v>2</v>
      </c>
      <c r="C21" s="28">
        <f t="shared" ref="C21:N21" si="2">SUM(C19:C20)</f>
        <v>10045</v>
      </c>
      <c r="D21" s="28">
        <f t="shared" si="2"/>
        <v>9585</v>
      </c>
      <c r="E21" s="28">
        <f t="shared" si="2"/>
        <v>9585</v>
      </c>
      <c r="F21" s="28">
        <f t="shared" si="2"/>
        <v>10335</v>
      </c>
      <c r="G21" s="28">
        <f t="shared" si="2"/>
        <v>7975</v>
      </c>
      <c r="H21" s="28">
        <f t="shared" si="2"/>
        <v>8895</v>
      </c>
      <c r="I21" s="28">
        <f t="shared" si="2"/>
        <v>9585</v>
      </c>
      <c r="J21" s="28">
        <f t="shared" si="2"/>
        <v>9875</v>
      </c>
      <c r="K21" s="28">
        <f t="shared" si="2"/>
        <v>3605</v>
      </c>
      <c r="L21" s="28">
        <f t="shared" si="2"/>
        <v>8205</v>
      </c>
      <c r="M21" s="28">
        <f t="shared" si="2"/>
        <v>6365</v>
      </c>
      <c r="N21" s="28">
        <f t="shared" si="2"/>
        <v>5905</v>
      </c>
      <c r="O21" s="5"/>
      <c r="P21" s="42">
        <f>SUM(C21:N21)</f>
        <v>99960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4901.79</v>
      </c>
      <c r="D24" s="10">
        <v>4901.79</v>
      </c>
      <c r="E24" s="10">
        <v>5276.79</v>
      </c>
      <c r="F24" s="10">
        <v>5276.79</v>
      </c>
      <c r="G24" s="10">
        <v>5276.79</v>
      </c>
      <c r="H24" s="10">
        <v>5276.79</v>
      </c>
      <c r="I24" s="10">
        <v>5432.13</v>
      </c>
      <c r="J24" s="10">
        <v>5276.79</v>
      </c>
      <c r="K24" s="10">
        <v>3144.83</v>
      </c>
      <c r="L24" s="10">
        <v>5751.86</v>
      </c>
      <c r="M24" s="10">
        <v>4036.83</v>
      </c>
      <c r="N24" s="10">
        <v>4502.54</v>
      </c>
      <c r="O24" s="4"/>
      <c r="P24" s="43">
        <f t="shared" ref="P24:P29" si="3">SUM(C24:N24)</f>
        <v>59055.720000000008</v>
      </c>
    </row>
    <row r="25" spans="2:16" x14ac:dyDescent="0.3">
      <c r="B25" s="9" t="s">
        <v>8</v>
      </c>
      <c r="C25" s="10">
        <f>1105.77+1867.57</f>
        <v>2973.34</v>
      </c>
      <c r="D25" s="10">
        <f>1105.77+1867.57</f>
        <v>2973.34</v>
      </c>
      <c r="E25" s="10">
        <f>1105.77+1867.57</f>
        <v>2973.34</v>
      </c>
      <c r="F25" s="10">
        <f>1105.77+1867.57</f>
        <v>2973.34</v>
      </c>
      <c r="G25" s="10">
        <f>1105.77+1891.51</f>
        <v>2997.2799999999997</v>
      </c>
      <c r="H25" s="10">
        <f>1105.77+1896.76</f>
        <v>3002.5299999999997</v>
      </c>
      <c r="I25" s="10">
        <f>1140.67+1951.67</f>
        <v>3092.34</v>
      </c>
      <c r="J25" s="10">
        <f>1105.77+1899.42</f>
        <v>3005.19</v>
      </c>
      <c r="K25" s="10">
        <f>679.88+1158.51</f>
        <v>1838.3899999999999</v>
      </c>
      <c r="L25" s="10">
        <f>1212.7+2071.29</f>
        <v>3283.99</v>
      </c>
      <c r="M25" s="10">
        <f>864.1+1479.92</f>
        <v>2344.02</v>
      </c>
      <c r="N25" s="10">
        <f>954.68+1625.87</f>
        <v>2580.5499999999997</v>
      </c>
      <c r="O25" s="4"/>
      <c r="P25" s="43">
        <f t="shared" si="3"/>
        <v>34037.649999999994</v>
      </c>
    </row>
    <row r="26" spans="2:16" x14ac:dyDescent="0.3">
      <c r="B26" s="55" t="s">
        <v>40</v>
      </c>
      <c r="C26" s="10">
        <v>475.2</v>
      </c>
      <c r="D26" s="10">
        <v>474.85</v>
      </c>
      <c r="E26" s="10">
        <v>474.85</v>
      </c>
      <c r="F26" s="10">
        <v>492.7</v>
      </c>
      <c r="G26" s="10">
        <v>421.3</v>
      </c>
      <c r="H26" s="10">
        <v>457</v>
      </c>
      <c r="I26" s="10">
        <v>492.7</v>
      </c>
      <c r="J26" s="10">
        <v>439.15</v>
      </c>
      <c r="K26" s="10">
        <v>242.8</v>
      </c>
      <c r="L26" s="10">
        <v>421.3</v>
      </c>
      <c r="M26" s="10">
        <v>349.9</v>
      </c>
      <c r="N26" s="10">
        <v>544.54999999999995</v>
      </c>
      <c r="O26" s="4"/>
      <c r="P26" s="43">
        <f t="shared" si="3"/>
        <v>5286.3</v>
      </c>
    </row>
    <row r="27" spans="2:16" x14ac:dyDescent="0.3">
      <c r="B27" s="55" t="s">
        <v>41</v>
      </c>
      <c r="C27" s="64"/>
      <c r="D27" s="64"/>
      <c r="E27" s="64"/>
      <c r="F27" s="64"/>
      <c r="G27" s="64"/>
      <c r="H27" s="64"/>
      <c r="I27" s="64"/>
      <c r="J27" s="64">
        <v>1424.17</v>
      </c>
      <c r="K27" s="64"/>
      <c r="L27" s="64"/>
      <c r="M27" s="64"/>
      <c r="N27" s="64"/>
      <c r="O27" s="4"/>
      <c r="P27" s="43">
        <f t="shared" si="3"/>
        <v>1424.17</v>
      </c>
    </row>
    <row r="28" spans="2:16" x14ac:dyDescent="0.3">
      <c r="B28" s="55" t="s">
        <v>43</v>
      </c>
      <c r="C28" s="10">
        <v>750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3"/>
        <v>750</v>
      </c>
    </row>
    <row r="29" spans="2:16" x14ac:dyDescent="0.3">
      <c r="B29" s="8" t="s">
        <v>3</v>
      </c>
      <c r="C29" s="44">
        <f>SUM(C24:C28)</f>
        <v>9100.33</v>
      </c>
      <c r="D29" s="44">
        <f t="shared" ref="D29:N29" si="4">SUM(D24:D27)</f>
        <v>8349.98</v>
      </c>
      <c r="E29" s="44">
        <f t="shared" si="4"/>
        <v>8724.9800000000014</v>
      </c>
      <c r="F29" s="44">
        <f t="shared" si="4"/>
        <v>8742.8300000000017</v>
      </c>
      <c r="G29" s="44">
        <f t="shared" si="4"/>
        <v>8695.369999999999</v>
      </c>
      <c r="H29" s="44">
        <f t="shared" si="4"/>
        <v>8736.32</v>
      </c>
      <c r="I29" s="44">
        <f t="shared" si="4"/>
        <v>9017.1700000000019</v>
      </c>
      <c r="J29" s="44">
        <f t="shared" si="4"/>
        <v>10145.299999999999</v>
      </c>
      <c r="K29" s="44">
        <f t="shared" si="4"/>
        <v>5226.0199999999995</v>
      </c>
      <c r="L29" s="44">
        <f t="shared" si="4"/>
        <v>9457.1499999999978</v>
      </c>
      <c r="M29" s="44">
        <f t="shared" si="4"/>
        <v>6730.75</v>
      </c>
      <c r="N29" s="44">
        <f t="shared" si="4"/>
        <v>7627.64</v>
      </c>
      <c r="O29" s="4"/>
      <c r="P29" s="60">
        <f t="shared" si="3"/>
        <v>100553.84000000001</v>
      </c>
    </row>
    <row r="30" spans="2:16" x14ac:dyDescent="0.3"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4"/>
      <c r="P30" s="43"/>
    </row>
    <row r="31" spans="2:16" x14ac:dyDescent="0.3">
      <c r="B31" s="65" t="s">
        <v>44</v>
      </c>
      <c r="C31" s="66">
        <v>375</v>
      </c>
      <c r="D31" s="66">
        <v>375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P31" s="67">
        <f>SUM(C31:N31)</f>
        <v>750</v>
      </c>
    </row>
    <row r="32" spans="2:16" x14ac:dyDescent="0.3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P32" s="72"/>
    </row>
    <row r="33" spans="2:16" x14ac:dyDescent="0.3">
      <c r="B33" s="46" t="s">
        <v>36</v>
      </c>
      <c r="C33" s="47">
        <f t="shared" ref="C33:N33" si="5">C21-C29</f>
        <v>944.67000000000007</v>
      </c>
      <c r="D33" s="47">
        <f t="shared" si="5"/>
        <v>1235.0200000000004</v>
      </c>
      <c r="E33" s="47">
        <f t="shared" si="5"/>
        <v>860.01999999999862</v>
      </c>
      <c r="F33" s="47">
        <f t="shared" si="5"/>
        <v>1592.1699999999983</v>
      </c>
      <c r="G33" s="47">
        <f t="shared" si="5"/>
        <v>-720.36999999999898</v>
      </c>
      <c r="H33" s="47">
        <f t="shared" si="5"/>
        <v>158.68000000000029</v>
      </c>
      <c r="I33" s="47">
        <f t="shared" si="5"/>
        <v>567.82999999999811</v>
      </c>
      <c r="J33" s="47">
        <f t="shared" si="5"/>
        <v>-270.29999999999927</v>
      </c>
      <c r="K33" s="47">
        <f t="shared" si="5"/>
        <v>-1621.0199999999995</v>
      </c>
      <c r="L33" s="47">
        <f t="shared" si="5"/>
        <v>-1252.1499999999978</v>
      </c>
      <c r="M33" s="47">
        <f t="shared" si="5"/>
        <v>-365.75</v>
      </c>
      <c r="N33" s="47">
        <f t="shared" si="5"/>
        <v>-1722.6400000000003</v>
      </c>
      <c r="P33" s="59">
        <f>SUM(C33:N33)</f>
        <v>-593.84000000000015</v>
      </c>
    </row>
    <row r="35" spans="2:16" x14ac:dyDescent="0.3">
      <c r="B35" s="62" t="s">
        <v>37</v>
      </c>
      <c r="C35" s="54">
        <v>1100</v>
      </c>
      <c r="D35" s="54">
        <v>1050</v>
      </c>
      <c r="E35" s="54">
        <v>1050</v>
      </c>
      <c r="F35" s="54">
        <v>1100</v>
      </c>
      <c r="G35" s="54">
        <v>900</v>
      </c>
      <c r="H35" s="54">
        <v>1000</v>
      </c>
      <c r="I35" s="54">
        <v>1100</v>
      </c>
      <c r="J35" s="54">
        <v>950</v>
      </c>
      <c r="K35" s="54">
        <v>400</v>
      </c>
      <c r="L35" s="54">
        <v>900</v>
      </c>
      <c r="M35" s="54">
        <v>700</v>
      </c>
      <c r="N35" s="54">
        <v>650</v>
      </c>
      <c r="P35" s="61">
        <f>SUM(C35:N35)</f>
        <v>10900</v>
      </c>
    </row>
    <row r="36" spans="2:16" x14ac:dyDescent="0.3">
      <c r="B36" s="62" t="s">
        <v>38</v>
      </c>
      <c r="C36" s="54">
        <v>475.2</v>
      </c>
      <c r="D36" s="54">
        <v>474.85</v>
      </c>
      <c r="E36" s="54">
        <v>474.85</v>
      </c>
      <c r="F36" s="54">
        <v>492.7</v>
      </c>
      <c r="G36" s="54">
        <v>421.3</v>
      </c>
      <c r="H36" s="54">
        <v>457</v>
      </c>
      <c r="I36" s="54">
        <v>492.7</v>
      </c>
      <c r="J36" s="54">
        <v>439.15</v>
      </c>
      <c r="K36" s="54">
        <v>242.8</v>
      </c>
      <c r="L36" s="54">
        <v>421.3</v>
      </c>
      <c r="M36" s="54">
        <v>349.9</v>
      </c>
      <c r="N36" s="54">
        <v>544.54999999999995</v>
      </c>
      <c r="P36" s="61">
        <f>SUM(C36:N36)</f>
        <v>5286.3</v>
      </c>
    </row>
    <row r="38" spans="2:16" x14ac:dyDescent="0.3">
      <c r="N38" s="54" t="s">
        <v>47</v>
      </c>
      <c r="P38" s="61">
        <f>(P35*0.357)+1395</f>
        <v>5286.2999999999993</v>
      </c>
    </row>
    <row r="39" spans="2:16" x14ac:dyDescent="0.3">
      <c r="N39" s="54" t="s">
        <v>48</v>
      </c>
      <c r="P39" s="61">
        <f>P38-P36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6"/>
  <sheetViews>
    <sheetView tabSelected="1" workbookViewId="0">
      <selection activeCell="H21" sqref="H21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18</v>
      </c>
      <c r="I6" s="37">
        <v>18</v>
      </c>
      <c r="J6" s="37">
        <v>18</v>
      </c>
      <c r="K6" s="37"/>
      <c r="L6" s="37"/>
      <c r="M6" s="37"/>
      <c r="N6" s="37"/>
      <c r="O6" s="36"/>
      <c r="P6" s="57">
        <f>SUM(C6:N6)</f>
        <v>149</v>
      </c>
    </row>
    <row r="7" spans="2:16" x14ac:dyDescent="0.3">
      <c r="B7" s="9" t="s">
        <v>21</v>
      </c>
      <c r="C7" s="37">
        <v>22</v>
      </c>
      <c r="D7" s="37">
        <v>20</v>
      </c>
      <c r="E7" s="37">
        <v>20</v>
      </c>
      <c r="F7" s="37">
        <v>20</v>
      </c>
      <c r="G7" s="37">
        <v>19.5</v>
      </c>
      <c r="H7" s="37">
        <v>19</v>
      </c>
      <c r="I7" s="37">
        <v>21</v>
      </c>
      <c r="J7" s="37">
        <v>19</v>
      </c>
      <c r="K7" s="37"/>
      <c r="L7" s="37"/>
      <c r="M7" s="37"/>
      <c r="N7" s="37"/>
      <c r="O7" s="36"/>
      <c r="P7" s="57">
        <f>SUM(C7:N7)</f>
        <v>160.5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0.5</v>
      </c>
      <c r="H8" s="63">
        <f t="shared" si="0"/>
        <v>1</v>
      </c>
      <c r="I8" s="63">
        <f t="shared" si="0"/>
        <v>3</v>
      </c>
      <c r="J8" s="63">
        <f t="shared" si="0"/>
        <v>1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11.5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20</v>
      </c>
      <c r="F11" s="11">
        <v>20</v>
      </c>
      <c r="G11" s="11">
        <v>18.5</v>
      </c>
      <c r="H11" s="11">
        <v>18</v>
      </c>
      <c r="I11" s="11">
        <v>21</v>
      </c>
      <c r="J11" s="11">
        <v>19</v>
      </c>
      <c r="K11" s="11"/>
      <c r="L11" s="11"/>
      <c r="M11" s="11"/>
      <c r="N11" s="11"/>
      <c r="P11" s="58">
        <f t="shared" ref="P11:P16" si="1">SUM(C11:N11)</f>
        <v>158.5</v>
      </c>
    </row>
    <row r="12" spans="2:16" x14ac:dyDescent="0.3">
      <c r="B12" s="9" t="s">
        <v>16</v>
      </c>
      <c r="C12" s="12"/>
      <c r="D12" s="12"/>
      <c r="E12" s="12">
        <v>1</v>
      </c>
      <c r="F12" s="12">
        <v>1</v>
      </c>
      <c r="G12" s="12">
        <v>0.5</v>
      </c>
      <c r="H12" s="12">
        <v>2</v>
      </c>
      <c r="I12" s="12">
        <v>1</v>
      </c>
      <c r="J12" s="12">
        <v>1</v>
      </c>
      <c r="K12" s="12"/>
      <c r="L12" s="12"/>
      <c r="M12" s="12"/>
      <c r="N12" s="12"/>
      <c r="P12" s="58">
        <f t="shared" si="1"/>
        <v>6.5</v>
      </c>
    </row>
    <row r="13" spans="2:16" x14ac:dyDescent="0.3">
      <c r="B13" s="9" t="s">
        <v>45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 t="shared" si="1"/>
        <v>0</v>
      </c>
    </row>
    <row r="14" spans="2:16" x14ac:dyDescent="0.3">
      <c r="B14" s="9" t="s">
        <v>46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8">
        <f t="shared" si="1"/>
        <v>0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>
        <v>0.5</v>
      </c>
      <c r="I16" s="23"/>
      <c r="J16" s="23"/>
      <c r="K16" s="23"/>
      <c r="L16" s="23"/>
      <c r="M16" s="23"/>
      <c r="N16" s="23"/>
      <c r="P16" s="58">
        <f t="shared" si="1"/>
        <v>0.5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C11*Params!$C$6*(1-Params!$C$3)-Params!$C$4</f>
        <v>10095</v>
      </c>
      <c r="D19" s="10">
        <f>D11*Params!$C$6*(1-Params!$C$3)-Params!$C$4</f>
        <v>9175</v>
      </c>
      <c r="E19" s="10">
        <f>E11*Params!$C$6*(1-Params!$C$3)-Params!$C$4</f>
        <v>9175</v>
      </c>
      <c r="F19" s="10">
        <f>F11*Params!$C$6*(1-Params!$C$3)-Params!$C$4</f>
        <v>9175</v>
      </c>
      <c r="G19" s="10">
        <f>G11*Params!$C$6*(1-Params!$C$3)-Params!$C$4</f>
        <v>8485</v>
      </c>
      <c r="H19" s="10">
        <f>H11*Params!$C$6*(1-Params!$C$3)-Params!$C$4</f>
        <v>8255</v>
      </c>
      <c r="I19" s="10">
        <f>I11*Params!$C$6*(1-Params!$C$3)-Params!$C$4</f>
        <v>9635</v>
      </c>
      <c r="J19" s="10">
        <f>J11*Params!$C$6*(1-Params!$C$3)-Params!$C$4</f>
        <v>8715</v>
      </c>
      <c r="K19" s="10"/>
      <c r="L19" s="10"/>
      <c r="M19" s="10"/>
      <c r="N19" s="10"/>
      <c r="O19" s="4"/>
      <c r="P19" s="41">
        <f>SUM(C19:N19)</f>
        <v>72710</v>
      </c>
    </row>
    <row r="20" spans="2:16" x14ac:dyDescent="0.3">
      <c r="B20" s="9" t="s">
        <v>15</v>
      </c>
      <c r="C20" s="10"/>
      <c r="D20" s="10"/>
      <c r="E20" s="10"/>
      <c r="F20" s="10"/>
      <c r="G20" s="10">
        <v>1500</v>
      </c>
      <c r="H20" s="10">
        <v>357</v>
      </c>
      <c r="I20" s="10"/>
      <c r="J20" s="10"/>
      <c r="K20" s="10"/>
      <c r="L20" s="10"/>
      <c r="M20" s="10"/>
      <c r="N20" s="10"/>
      <c r="O20" s="4"/>
      <c r="P20" s="41">
        <f>SUM(C20:N20)</f>
        <v>1857</v>
      </c>
    </row>
    <row r="21" spans="2:16" x14ac:dyDescent="0.3">
      <c r="B21" s="27" t="s">
        <v>2</v>
      </c>
      <c r="C21" s="28">
        <f t="shared" ref="C21:N21" si="2">SUM(C19:C20)</f>
        <v>10095</v>
      </c>
      <c r="D21" s="28">
        <f t="shared" si="2"/>
        <v>9175</v>
      </c>
      <c r="E21" s="28">
        <f t="shared" si="2"/>
        <v>9175</v>
      </c>
      <c r="F21" s="28">
        <f t="shared" si="2"/>
        <v>9175</v>
      </c>
      <c r="G21" s="28">
        <f t="shared" si="2"/>
        <v>9985</v>
      </c>
      <c r="H21" s="28">
        <f t="shared" si="2"/>
        <v>8612</v>
      </c>
      <c r="I21" s="28">
        <f t="shared" si="2"/>
        <v>9635</v>
      </c>
      <c r="J21" s="28">
        <f t="shared" si="2"/>
        <v>8715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SUM(C21:N21)</f>
        <v>74567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5275.46</v>
      </c>
      <c r="D24" s="10">
        <v>5275.46</v>
      </c>
      <c r="E24" s="10">
        <v>5275.46</v>
      </c>
      <c r="F24" s="10">
        <v>5275.46</v>
      </c>
      <c r="G24" s="10">
        <v>5275.46</v>
      </c>
      <c r="H24" s="10">
        <v>4683.6899999999996</v>
      </c>
      <c r="I24" s="10">
        <v>4683.6899999999996</v>
      </c>
      <c r="J24" s="10">
        <v>4683.6899999999996</v>
      </c>
      <c r="K24" s="10"/>
      <c r="L24" s="10"/>
      <c r="M24" s="10"/>
      <c r="N24" s="10"/>
      <c r="O24" s="4"/>
      <c r="P24" s="43">
        <f t="shared" ref="P24:P29" si="3">SUM(C24:N24)</f>
        <v>40428.370000000003</v>
      </c>
    </row>
    <row r="25" spans="2:16" x14ac:dyDescent="0.3">
      <c r="B25" s="9" t="s">
        <v>8</v>
      </c>
      <c r="C25" s="10">
        <f>1111.66+1913.43</f>
        <v>3025.09</v>
      </c>
      <c r="D25" s="10">
        <f>1111.66+1900.29</f>
        <v>3011.95</v>
      </c>
      <c r="E25" s="10">
        <f>1111.66+1900.29</f>
        <v>3011.95</v>
      </c>
      <c r="F25" s="10">
        <f>1111.66+3180.35</f>
        <v>4292.01</v>
      </c>
      <c r="G25" s="10">
        <f>1111.66+2222.28</f>
        <v>3333.9400000000005</v>
      </c>
      <c r="H25" s="10">
        <f>1054.59+2020.42</f>
        <v>3075.01</v>
      </c>
      <c r="I25" s="10">
        <f>1054.59+2022.61</f>
        <v>3077.2</v>
      </c>
      <c r="J25" s="10">
        <f>1054.59+2021.1</f>
        <v>3075.6899999999996</v>
      </c>
      <c r="K25" s="10"/>
      <c r="L25" s="10"/>
      <c r="M25" s="10"/>
      <c r="N25" s="10"/>
      <c r="O25" s="4"/>
      <c r="P25" s="43">
        <f t="shared" si="3"/>
        <v>25902.840000000004</v>
      </c>
    </row>
    <row r="26" spans="2:16" x14ac:dyDescent="0.3">
      <c r="B26" s="55" t="s">
        <v>40</v>
      </c>
      <c r="C26" s="10">
        <v>492.7</v>
      </c>
      <c r="D26" s="10">
        <v>457</v>
      </c>
      <c r="E26" s="10">
        <v>457</v>
      </c>
      <c r="F26" s="10">
        <v>457</v>
      </c>
      <c r="G26" s="10">
        <v>439.15</v>
      </c>
      <c r="H26" s="10">
        <v>439.15</v>
      </c>
      <c r="I26" s="10">
        <v>492.7</v>
      </c>
      <c r="J26" s="10"/>
      <c r="K26" s="10"/>
      <c r="L26" s="10"/>
      <c r="M26" s="10"/>
      <c r="N26" s="10"/>
      <c r="O26" s="4"/>
      <c r="P26" s="43">
        <f t="shared" si="3"/>
        <v>3234.7</v>
      </c>
    </row>
    <row r="27" spans="2:16" x14ac:dyDescent="0.3">
      <c r="B27" s="55" t="s">
        <v>41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4"/>
      <c r="P27" s="43">
        <f t="shared" si="3"/>
        <v>0</v>
      </c>
    </row>
    <row r="28" spans="2:16" x14ac:dyDescent="0.3">
      <c r="B28" s="55" t="s">
        <v>43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3"/>
        <v>0</v>
      </c>
    </row>
    <row r="29" spans="2:16" x14ac:dyDescent="0.3">
      <c r="B29" s="8" t="s">
        <v>3</v>
      </c>
      <c r="C29" s="44">
        <f>SUM(C24:C28)</f>
        <v>8793.25</v>
      </c>
      <c r="D29" s="44">
        <f t="shared" ref="D29:N29" si="4">SUM(D24:D27)</f>
        <v>8744.41</v>
      </c>
      <c r="E29" s="44">
        <f t="shared" si="4"/>
        <v>8744.41</v>
      </c>
      <c r="F29" s="44">
        <f t="shared" si="4"/>
        <v>10024.470000000001</v>
      </c>
      <c r="G29" s="44">
        <f t="shared" si="4"/>
        <v>9048.5500000000011</v>
      </c>
      <c r="H29" s="44">
        <f t="shared" si="4"/>
        <v>8197.85</v>
      </c>
      <c r="I29" s="44">
        <f t="shared" si="4"/>
        <v>8253.59</v>
      </c>
      <c r="J29" s="44">
        <f t="shared" si="4"/>
        <v>7759.3799999999992</v>
      </c>
      <c r="K29" s="44">
        <f t="shared" si="4"/>
        <v>0</v>
      </c>
      <c r="L29" s="44">
        <f t="shared" si="4"/>
        <v>0</v>
      </c>
      <c r="M29" s="44">
        <f t="shared" si="4"/>
        <v>0</v>
      </c>
      <c r="N29" s="44">
        <f t="shared" si="4"/>
        <v>0</v>
      </c>
      <c r="O29" s="4"/>
      <c r="P29" s="60">
        <f t="shared" si="3"/>
        <v>69565.91</v>
      </c>
    </row>
    <row r="30" spans="2:16" x14ac:dyDescent="0.3"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4"/>
      <c r="P30" s="43"/>
    </row>
    <row r="31" spans="2:16" x14ac:dyDescent="0.3">
      <c r="B31" s="65" t="s">
        <v>44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P31" s="67">
        <f>SUM(C31:N31)</f>
        <v>0</v>
      </c>
    </row>
    <row r="32" spans="2:16" x14ac:dyDescent="0.3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P32" s="72"/>
    </row>
    <row r="33" spans="2:16" x14ac:dyDescent="0.3">
      <c r="B33" s="46" t="s">
        <v>36</v>
      </c>
      <c r="C33" s="47">
        <f t="shared" ref="C33:N33" si="5">C21-C29</f>
        <v>1301.75</v>
      </c>
      <c r="D33" s="47">
        <f t="shared" si="5"/>
        <v>430.59000000000015</v>
      </c>
      <c r="E33" s="47">
        <f t="shared" si="5"/>
        <v>430.59000000000015</v>
      </c>
      <c r="F33" s="47">
        <f t="shared" si="5"/>
        <v>-849.47000000000116</v>
      </c>
      <c r="G33" s="47">
        <f t="shared" si="5"/>
        <v>936.44999999999891</v>
      </c>
      <c r="H33" s="47">
        <f t="shared" si="5"/>
        <v>414.14999999999964</v>
      </c>
      <c r="I33" s="47">
        <f t="shared" si="5"/>
        <v>1381.4099999999999</v>
      </c>
      <c r="J33" s="47">
        <f t="shared" si="5"/>
        <v>955.6200000000008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59">
        <f>SUM(C33:N33)</f>
        <v>5001.0899999999983</v>
      </c>
    </row>
    <row r="35" spans="2:16" x14ac:dyDescent="0.3">
      <c r="B35" s="62" t="s">
        <v>37</v>
      </c>
      <c r="C35" s="54">
        <v>1100</v>
      </c>
      <c r="D35" s="54">
        <v>1000</v>
      </c>
      <c r="E35" s="54">
        <v>1000</v>
      </c>
      <c r="F35" s="54">
        <v>1000</v>
      </c>
      <c r="G35" s="54">
        <v>950</v>
      </c>
      <c r="H35" s="54">
        <v>950</v>
      </c>
      <c r="I35" s="54">
        <v>1100</v>
      </c>
      <c r="J35" s="54"/>
      <c r="K35" s="54"/>
      <c r="L35" s="54"/>
      <c r="M35" s="54"/>
      <c r="N35" s="54"/>
      <c r="P35" s="61">
        <f>SUM(C35:N35)</f>
        <v>7100</v>
      </c>
    </row>
    <row r="36" spans="2:16" x14ac:dyDescent="0.3">
      <c r="B36" s="62" t="s">
        <v>38</v>
      </c>
      <c r="C36" s="54">
        <v>492.7</v>
      </c>
      <c r="D36" s="54">
        <v>457</v>
      </c>
      <c r="E36" s="54">
        <v>457</v>
      </c>
      <c r="F36" s="54">
        <v>457</v>
      </c>
      <c r="G36" s="54">
        <v>439.15</v>
      </c>
      <c r="H36" s="54">
        <v>439.15</v>
      </c>
      <c r="I36" s="54">
        <v>492.7</v>
      </c>
      <c r="J36" s="54"/>
      <c r="K36" s="54"/>
      <c r="L36" s="54"/>
      <c r="M36" s="54"/>
      <c r="N36" s="54"/>
      <c r="P36" s="61">
        <f>SUM(C36:N36)</f>
        <v>3234.7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4" sqref="C4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5" t="s">
        <v>23</v>
      </c>
      <c r="C2" s="7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25</v>
      </c>
    </row>
    <row r="5" spans="2:3" ht="30" customHeight="1" x14ac:dyDescent="0.3">
      <c r="B5" s="33" t="s">
        <v>13</v>
      </c>
      <c r="C5" s="33">
        <v>75</v>
      </c>
    </row>
    <row r="6" spans="2:3" ht="30" customHeight="1" x14ac:dyDescent="0.3">
      <c r="B6" s="33" t="s">
        <v>42</v>
      </c>
      <c r="C6" s="33">
        <v>500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workbookViewId="0">
      <selection activeCell="C7" sqref="C7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7" t="s">
        <v>33</v>
      </c>
      <c r="C2" s="77"/>
    </row>
    <row r="3" spans="2:3" ht="16.95" customHeight="1" x14ac:dyDescent="0.3">
      <c r="B3" s="38" t="s">
        <v>34</v>
      </c>
      <c r="C3" s="39">
        <f>'2023'!P28+'2024'!P33+'2025'!P33</f>
        <v>1123.8499999999985</v>
      </c>
    </row>
    <row r="4" spans="2:3" ht="16.95" customHeight="1" x14ac:dyDescent="0.3">
      <c r="B4" s="38" t="s">
        <v>39</v>
      </c>
      <c r="C4" s="40">
        <f>'2023'!P12+'2024'!P12+'2025'!P12</f>
        <v>42.5</v>
      </c>
    </row>
    <row r="5" spans="2:3" x14ac:dyDescent="0.3">
      <c r="B5" t="s">
        <v>49</v>
      </c>
      <c r="C5">
        <f>(2.08*25)-C4</f>
        <v>9.5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2025-09-11T10:16:39Z</dcterms:modified>
</cp:coreProperties>
</file>