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52CE45B2-598B-464F-8FD7-E65911179EE4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'2024'!$B$31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'2024'!$B$30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'2025'!$B$24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6" l="1"/>
  <c r="J17" i="16"/>
  <c r="I23" i="16" l="1"/>
  <c r="I17" i="16"/>
  <c r="H23" i="16" l="1"/>
  <c r="H17" i="16"/>
  <c r="G23" i="16" l="1"/>
  <c r="G17" i="16"/>
  <c r="F14" i="16" l="1"/>
  <c r="F23" i="16"/>
  <c r="F17" i="16"/>
  <c r="P31" i="16" l="1"/>
  <c r="P30" i="16"/>
  <c r="P33" i="16" s="1"/>
  <c r="N26" i="16"/>
  <c r="M26" i="16"/>
  <c r="L26" i="16"/>
  <c r="K26" i="16"/>
  <c r="J26" i="16"/>
  <c r="I26" i="16"/>
  <c r="H26" i="16"/>
  <c r="G26" i="16"/>
  <c r="F26" i="16"/>
  <c r="P25" i="16"/>
  <c r="P24" i="16"/>
  <c r="E23" i="16"/>
  <c r="E26" i="16" s="1"/>
  <c r="D23" i="16"/>
  <c r="D26" i="16" s="1"/>
  <c r="C23" i="16"/>
  <c r="C26" i="16" s="1"/>
  <c r="P22" i="16"/>
  <c r="N19" i="16"/>
  <c r="M19" i="16"/>
  <c r="L19" i="16"/>
  <c r="K19" i="16"/>
  <c r="J19" i="16"/>
  <c r="I19" i="16"/>
  <c r="H19" i="16"/>
  <c r="H28" i="16" s="1"/>
  <c r="G19" i="16"/>
  <c r="F19" i="16"/>
  <c r="P18" i="16"/>
  <c r="E17" i="16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1" i="15"/>
  <c r="P30" i="15"/>
  <c r="P33" i="15" s="1"/>
  <c r="P25" i="15"/>
  <c r="P24" i="15"/>
  <c r="N23" i="15"/>
  <c r="N26" i="15" s="1"/>
  <c r="M23" i="15"/>
  <c r="M26" i="15" s="1"/>
  <c r="L23" i="15"/>
  <c r="L26" i="15" s="1"/>
  <c r="K23" i="15"/>
  <c r="K26" i="15" s="1"/>
  <c r="J23" i="15"/>
  <c r="J26" i="15" s="1"/>
  <c r="I23" i="15"/>
  <c r="I26" i="15" s="1"/>
  <c r="H23" i="15"/>
  <c r="H26" i="15" s="1"/>
  <c r="G23" i="15"/>
  <c r="G26" i="15" s="1"/>
  <c r="F23" i="15"/>
  <c r="F26" i="15" s="1"/>
  <c r="E23" i="15"/>
  <c r="E26" i="15" s="1"/>
  <c r="D23" i="15"/>
  <c r="D26" i="15" s="1"/>
  <c r="C23" i="15"/>
  <c r="C26" i="15" s="1"/>
  <c r="P22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F17" i="15"/>
  <c r="F19" i="15" s="1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D26" i="14"/>
  <c r="C26" i="14"/>
  <c r="H25" i="14"/>
  <c r="P25" i="14" s="1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F26" i="14" s="1"/>
  <c r="E23" i="14"/>
  <c r="P22" i="14"/>
  <c r="D19" i="14"/>
  <c r="C19" i="14"/>
  <c r="C28" i="14" s="1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I17" i="14"/>
  <c r="I19" i="14" s="1"/>
  <c r="H17" i="14"/>
  <c r="H19" i="14" s="1"/>
  <c r="G17" i="14"/>
  <c r="G19" i="14" s="1"/>
  <c r="F17" i="14"/>
  <c r="F19" i="14" s="1"/>
  <c r="E17" i="14"/>
  <c r="E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G28" i="14" l="1"/>
  <c r="N28" i="16"/>
  <c r="H28" i="14"/>
  <c r="J28" i="14"/>
  <c r="K28" i="16"/>
  <c r="D28" i="16"/>
  <c r="M28" i="14"/>
  <c r="K28" i="14"/>
  <c r="H28" i="15"/>
  <c r="I28" i="15"/>
  <c r="L28" i="16"/>
  <c r="D28" i="15"/>
  <c r="C4" i="13"/>
  <c r="C5" i="13" s="1"/>
  <c r="I28" i="16"/>
  <c r="P34" i="16"/>
  <c r="G28" i="16"/>
  <c r="P17" i="16"/>
  <c r="F28" i="15"/>
  <c r="N28" i="15"/>
  <c r="P8" i="16"/>
  <c r="M28" i="16"/>
  <c r="P23" i="14"/>
  <c r="P34" i="15"/>
  <c r="P17" i="14"/>
  <c r="G28" i="15"/>
  <c r="P8" i="14"/>
  <c r="D28" i="14"/>
  <c r="P8" i="15"/>
  <c r="P17" i="15"/>
  <c r="J28" i="16"/>
  <c r="F28" i="16"/>
  <c r="P26" i="16"/>
  <c r="L28" i="14"/>
  <c r="E28" i="15"/>
  <c r="M28" i="15"/>
  <c r="P26" i="15"/>
  <c r="F28" i="14"/>
  <c r="N28" i="14"/>
  <c r="P19" i="15"/>
  <c r="P19" i="14"/>
  <c r="J28" i="15"/>
  <c r="K28" i="15"/>
  <c r="I28" i="14"/>
  <c r="L28" i="15"/>
  <c r="C28" i="16"/>
  <c r="P23" i="15"/>
  <c r="C28" i="15"/>
  <c r="P23" i="16"/>
  <c r="E26" i="14"/>
  <c r="E28" i="14" s="1"/>
  <c r="E19" i="16"/>
  <c r="E28" i="16" s="1"/>
  <c r="P19" i="16" l="1"/>
  <c r="P28" i="14"/>
  <c r="P28" i="15"/>
  <c r="P26" i="14"/>
  <c r="P28" i="16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G18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K18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L18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vérifier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I18" authorId="0" shapeId="0" xr:uid="{AB3C816E-EF54-4F0D-B97B-8B91D5E69B6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124£ dans l'attente du paiement</t>
        </r>
      </text>
    </comment>
  </commentList>
</comments>
</file>

<file path=xl/sharedStrings.xml><?xml version="1.0" encoding="utf-8"?>
<sst xmlns="http://schemas.openxmlformats.org/spreadsheetml/2006/main" count="125" uniqueCount="48">
  <si>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</si>
  <si>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</si>
  <si>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</si>
  <si>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</si>
  <si>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</si>
  <si>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</si>
  <si>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</si>
  <si>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</si>
  <si>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</si>
  <si>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</si>
  <si>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</si>
  <si>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</si>
  <si>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</si>
  <si>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</si>
  <si>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</si>
  <si>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</si>
  <si>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</si>
  <si>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</si>
  <si>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</si>
  <si>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</si>
  <si>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</si>
  <si>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</si>
  <si>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</si>
  <si>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</si>
  <si>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</si>
  <si>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</si>
  <si>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</si>
  <si>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</si>
  <si>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</si>
  <si>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</si>
  <si>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</si>
  <si>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</si>
  <si>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</si>
  <si>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</si>
  <si>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</si>
  <si>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</si>
  <si>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</si>
  <si>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</si>
  <si>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</si>
  <si>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</si>
  <si>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</si>
  <si>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</si>
  <si>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</si>
  <si>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</si>
  <si>
    <t>Frais KM annuel à payer</t>
  </si>
  <si>
    <t>Régularisation Frais KM</t>
  </si>
  <si>
    <t>Solde Congé</t>
  </si>
  <si>
    <t>TJM (Février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</si>
</sst>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workbookViewId="0">
      <selection activeCell="M19" sqref="M19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12</v>
      </c>
      <c r="O6" s="36"/>
      <c r="P6" s="57">
        <f>SUM(C6:N6)</f>
        <v>174</v>
      </c>
    </row>
    <row r="7" spans="2:16" x14ac:dyDescent="0.3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>
        <v>19</v>
      </c>
      <c r="O7" s="36"/>
      <c r="P7" s="57">
        <f>SUM(C7:N7)</f>
        <v>174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7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>
        <v>19</v>
      </c>
      <c r="P11" s="58">
        <f>SUM(C11:N11)</f>
        <v>174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>
        <v>1</v>
      </c>
      <c r="P12" s="58">
        <f>SUM(C12:N12)</f>
        <v>17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>
        <f>N11*Params!$C$5*(1-Params!$C$3)-Params!$C$4</f>
        <v>10238.200000000001</v>
      </c>
      <c r="O17" s="4"/>
      <c r="P17" s="41">
        <f>SUM(C17:N17)</f>
        <v>93697.2</v>
      </c>
    </row>
    <row r="18" spans="2:16" x14ac:dyDescent="0.3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10238.200000000001</v>
      </c>
      <c r="O19" s="5"/>
      <c r="P19" s="42">
        <f>SUM(C19:N19)</f>
        <v>94405.2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>
        <v>6056.95</v>
      </c>
      <c r="O22" s="4"/>
      <c r="P22" s="43">
        <f>SUM(C22:N22)</f>
        <v>56644.93</v>
      </c>
    </row>
    <row r="23" spans="2:16" x14ac:dyDescent="0.3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>
        <f>1246.06+2484.79</f>
        <v>3730.85</v>
      </c>
      <c r="O23" s="4"/>
      <c r="P23" s="43">
        <f>SUM(C23:N23)</f>
        <v>34930.78</v>
      </c>
    </row>
    <row r="24" spans="2:16" x14ac:dyDescent="0.3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>
        <v>348.22</v>
      </c>
      <c r="O24" s="4"/>
      <c r="P24" s="43">
        <f>SUM(C24:N24)</f>
        <v>3074.3200000000006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10136.019999999999</v>
      </c>
      <c r="O26" s="4"/>
      <c r="P26" s="60">
        <f>SUM(C26:N26)</f>
        <v>95157.530000000013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102.18000000000211</v>
      </c>
      <c r="P28" s="59">
        <f>SUM(C28:N28)</f>
        <v>-752.32999999999538</v>
      </c>
    </row>
    <row r="30" spans="2:16" x14ac:dyDescent="0.3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>
        <v>570</v>
      </c>
      <c r="P30" s="61">
        <f>SUM(C30:N30)</f>
        <v>5220</v>
      </c>
    </row>
    <row r="31" spans="2:16" x14ac:dyDescent="0.3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>
        <v>348.22</v>
      </c>
      <c r="P31" s="61">
        <f>SUM(C31:N31)</f>
        <v>3074.3200000000006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workbookViewId="0">
      <selection activeCell="M28" sqref="M28:N28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3">
      <c r="B7" s="9" t="s">
        <v>21</v>
      </c>
      <c r="C7" s="37">
        <v>20.5</v>
      </c>
      <c r="D7" s="37">
        <v>24</v>
      </c>
      <c r="E7" s="37">
        <v>21</v>
      </c>
      <c r="F7" s="37">
        <v>9</v>
      </c>
      <c r="G7" s="37">
        <v>19</v>
      </c>
      <c r="H7" s="37">
        <v>18</v>
      </c>
      <c r="I7" s="37">
        <v>23</v>
      </c>
      <c r="J7" s="37">
        <v>11</v>
      </c>
      <c r="K7" s="37">
        <v>21</v>
      </c>
      <c r="L7" s="37">
        <v>23</v>
      </c>
      <c r="M7" s="37">
        <v>19</v>
      </c>
      <c r="N7" s="37">
        <v>19</v>
      </c>
      <c r="O7" s="36"/>
      <c r="P7" s="57">
        <f>SUM(C7:N7)</f>
        <v>227.5</v>
      </c>
    </row>
    <row r="8" spans="2:16" x14ac:dyDescent="0.3">
      <c r="B8" s="18" t="s">
        <v>22</v>
      </c>
      <c r="C8" s="63">
        <f t="shared" ref="C8:N8" si="0">C7-C6</f>
        <v>1.5</v>
      </c>
      <c r="D8" s="63">
        <f t="shared" si="0"/>
        <v>5</v>
      </c>
      <c r="E8" s="63">
        <f t="shared" si="0"/>
        <v>2</v>
      </c>
      <c r="F8" s="63">
        <f t="shared" si="0"/>
        <v>-10</v>
      </c>
      <c r="G8" s="63">
        <f t="shared" si="0"/>
        <v>0</v>
      </c>
      <c r="H8" s="63">
        <f t="shared" si="0"/>
        <v>-1</v>
      </c>
      <c r="I8" s="63">
        <f t="shared" si="0"/>
        <v>4</v>
      </c>
      <c r="J8" s="63">
        <f t="shared" si="0"/>
        <v>-8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0</v>
      </c>
      <c r="O8" s="36"/>
      <c r="P8" s="57">
        <f>SUM(C8:N8)</f>
        <v>-0.5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20.5</v>
      </c>
      <c r="D11" s="11">
        <v>21</v>
      </c>
      <c r="E11" s="11">
        <v>21</v>
      </c>
      <c r="F11" s="11">
        <v>9</v>
      </c>
      <c r="G11" s="11">
        <v>19</v>
      </c>
      <c r="H11" s="11">
        <v>17.5</v>
      </c>
      <c r="I11" s="11">
        <v>23</v>
      </c>
      <c r="J11" s="11">
        <v>11</v>
      </c>
      <c r="K11" s="11">
        <v>21</v>
      </c>
      <c r="L11" s="11">
        <v>23</v>
      </c>
      <c r="M11" s="11">
        <v>19</v>
      </c>
      <c r="N11" s="11">
        <v>19</v>
      </c>
      <c r="P11" s="58">
        <f>SUM(C11:N11)</f>
        <v>224</v>
      </c>
    </row>
    <row r="12" spans="2:16" x14ac:dyDescent="0.3">
      <c r="B12" s="9" t="s">
        <v>16</v>
      </c>
      <c r="C12" s="12">
        <v>1.5</v>
      </c>
      <c r="D12" s="12"/>
      <c r="E12" s="12"/>
      <c r="F12" s="12">
        <v>8</v>
      </c>
      <c r="G12" s="12"/>
      <c r="H12" s="12">
        <v>2.5</v>
      </c>
      <c r="I12" s="12"/>
      <c r="J12" s="12">
        <v>10</v>
      </c>
      <c r="K12" s="12"/>
      <c r="L12" s="12"/>
      <c r="M12" s="12"/>
      <c r="N12" s="12">
        <v>2</v>
      </c>
      <c r="P12" s="58">
        <f>SUM(C12:N12)</f>
        <v>24</v>
      </c>
    </row>
    <row r="13" spans="2:16" x14ac:dyDescent="0.3">
      <c r="B13" s="9" t="s">
        <v>17</v>
      </c>
      <c r="C13" s="12"/>
      <c r="D13" s="12"/>
      <c r="E13" s="12"/>
      <c r="F13" s="12">
        <v>4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4</v>
      </c>
    </row>
    <row r="14" spans="2:16" x14ac:dyDescent="0.3">
      <c r="B14" s="18" t="s">
        <v>15</v>
      </c>
      <c r="C14" s="23">
        <v>3</v>
      </c>
      <c r="D14" s="23">
        <v>3</v>
      </c>
      <c r="E14" s="23"/>
      <c r="F14" s="23"/>
      <c r="G14" s="23">
        <v>3</v>
      </c>
      <c r="H14" s="23"/>
      <c r="I14" s="23"/>
      <c r="J14" s="23"/>
      <c r="K14" s="23">
        <v>2</v>
      </c>
      <c r="L14" s="23">
        <v>2</v>
      </c>
      <c r="M14" s="23">
        <v>1</v>
      </c>
      <c r="N14" s="23"/>
      <c r="P14" s="58">
        <f>SUM(C14:N14)</f>
        <v>14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11241</v>
      </c>
      <c r="D17" s="10">
        <f>D11*Params!$C$6*(1-Params!$C$3)-Params!$C$4</f>
        <v>11517</v>
      </c>
      <c r="E17" s="10">
        <f>E11*Params!$C$6*(1-Params!$C$3)-Params!$C$4</f>
        <v>11517</v>
      </c>
      <c r="F17" s="10">
        <f>F11*Params!$C$6*(1-Params!$C$3)-Params!$C$4</f>
        <v>4893</v>
      </c>
      <c r="G17" s="10">
        <f>G11*Params!$C$6*(1-Params!$C$3)-Params!$C$4</f>
        <v>10413</v>
      </c>
      <c r="H17" s="10">
        <f>H11*Params!$C$6*(1-Params!$C$3)-Params!$C$4</f>
        <v>9585</v>
      </c>
      <c r="I17" s="10">
        <f>I11*Params!$C$6*(1-Params!$C$3)-Params!$C$4</f>
        <v>12621</v>
      </c>
      <c r="J17" s="10">
        <f>J11*Params!$C$6*(1-Params!$C$3)-Params!$C$4</f>
        <v>5997</v>
      </c>
      <c r="K17" s="10">
        <f>K11*Params!$C$6*(1-Params!$C$3)-Params!$C$4</f>
        <v>11517</v>
      </c>
      <c r="L17" s="10">
        <f>L11*Params!$C$6*(1-Params!$C$3)-Params!$C$4</f>
        <v>12621</v>
      </c>
      <c r="M17" s="10">
        <f>M11*Params!$C$6*(1-Params!$C$3)-Params!$C$4</f>
        <v>10413</v>
      </c>
      <c r="N17" s="10">
        <f>N11*Params!$C$6*(1-Params!$C$3)-Params!$C$4</f>
        <v>10413</v>
      </c>
      <c r="O17" s="4"/>
      <c r="P17" s="41">
        <f>SUM(C17:N17)</f>
        <v>122748</v>
      </c>
    </row>
    <row r="18" spans="2:16" x14ac:dyDescent="0.3">
      <c r="B18" s="9" t="s">
        <v>15</v>
      </c>
      <c r="C18" s="10">
        <v>840</v>
      </c>
      <c r="D18" s="10">
        <v>480</v>
      </c>
      <c r="E18" s="10"/>
      <c r="F18" s="10"/>
      <c r="G18" s="10">
        <v>660</v>
      </c>
      <c r="H18" s="10"/>
      <c r="I18" s="10"/>
      <c r="J18" s="10"/>
      <c r="K18" s="10">
        <v>750</v>
      </c>
      <c r="L18" s="10">
        <v>255</v>
      </c>
      <c r="M18" s="10">
        <v>120</v>
      </c>
      <c r="N18" s="10"/>
      <c r="O18" s="4"/>
      <c r="P18" s="41">
        <f>SUM(C18:N18)</f>
        <v>3105</v>
      </c>
    </row>
    <row r="19" spans="2:16" x14ac:dyDescent="0.3">
      <c r="B19" s="27" t="s">
        <v>2</v>
      </c>
      <c r="C19" s="28">
        <f t="shared" ref="C19:N19" si="1">SUM(C17:C18)</f>
        <v>12081</v>
      </c>
      <c r="D19" s="28">
        <f t="shared" si="1"/>
        <v>11997</v>
      </c>
      <c r="E19" s="28">
        <f t="shared" si="1"/>
        <v>11517</v>
      </c>
      <c r="F19" s="28">
        <f t="shared" si="1"/>
        <v>4893</v>
      </c>
      <c r="G19" s="28">
        <f t="shared" si="1"/>
        <v>11073</v>
      </c>
      <c r="H19" s="28">
        <f t="shared" si="1"/>
        <v>9585</v>
      </c>
      <c r="I19" s="28">
        <f t="shared" si="1"/>
        <v>12621</v>
      </c>
      <c r="J19" s="28">
        <f t="shared" si="1"/>
        <v>5997</v>
      </c>
      <c r="K19" s="28">
        <f t="shared" si="1"/>
        <v>12267</v>
      </c>
      <c r="L19" s="28">
        <f t="shared" si="1"/>
        <v>12876</v>
      </c>
      <c r="M19" s="28">
        <f t="shared" si="1"/>
        <v>10533</v>
      </c>
      <c r="N19" s="28">
        <f t="shared" si="1"/>
        <v>10413</v>
      </c>
      <c r="O19" s="5"/>
      <c r="P19" s="42">
        <f>SUM(C19:N19)</f>
        <v>125853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6122.49</v>
      </c>
      <c r="D22" s="10">
        <v>6122.49</v>
      </c>
      <c r="E22" s="10">
        <v>6122.49</v>
      </c>
      <c r="F22" s="10">
        <v>5017.6000000000004</v>
      </c>
      <c r="G22" s="10">
        <v>6122.49</v>
      </c>
      <c r="H22" s="10">
        <v>6122.49</v>
      </c>
      <c r="I22" s="10">
        <v>6122.49</v>
      </c>
      <c r="J22" s="10">
        <v>6122.49</v>
      </c>
      <c r="K22" s="10">
        <v>6159.18</v>
      </c>
      <c r="L22" s="10">
        <v>6122.49</v>
      </c>
      <c r="M22" s="10">
        <v>6122.49</v>
      </c>
      <c r="N22" s="10">
        <v>6122.49</v>
      </c>
      <c r="O22" s="4"/>
      <c r="P22" s="43">
        <f>SUM(C22:N22)</f>
        <v>72401.679999999993</v>
      </c>
    </row>
    <row r="23" spans="2:16" x14ac:dyDescent="0.3">
      <c r="B23" s="9" t="s">
        <v>8</v>
      </c>
      <c r="C23" s="10">
        <f>1268.24+2533.31</f>
        <v>3801.55</v>
      </c>
      <c r="D23" s="10">
        <f>1268.24+2534.63</f>
        <v>3802.87</v>
      </c>
      <c r="E23" s="10">
        <f>1268.24+2530.67</f>
        <v>3798.91</v>
      </c>
      <c r="F23" s="10">
        <f>1050.01+2087.38</f>
        <v>3137.3900000000003</v>
      </c>
      <c r="G23" s="10">
        <f>1268.24+2579.43</f>
        <v>3847.67</v>
      </c>
      <c r="H23" s="10">
        <f>1268.24+2558.39</f>
        <v>3826.63</v>
      </c>
      <c r="I23" s="10">
        <f>1268.24+2568.04</f>
        <v>3836.2799999999997</v>
      </c>
      <c r="J23" s="10">
        <f>1268.24+2561.47</f>
        <v>3829.71</v>
      </c>
      <c r="K23" s="10">
        <f>1276.61+2603.34</f>
        <v>3879.95</v>
      </c>
      <c r="L23" s="10">
        <f>1268.24+2561.47</f>
        <v>3829.71</v>
      </c>
      <c r="M23" s="10">
        <f>1268.24+2561.47</f>
        <v>3829.71</v>
      </c>
      <c r="N23" s="10">
        <f>1268.24+2561.47</f>
        <v>3829.71</v>
      </c>
      <c r="O23" s="4"/>
      <c r="P23" s="43">
        <f>SUM(C23:N23)</f>
        <v>45250.09</v>
      </c>
    </row>
    <row r="24" spans="2:16" x14ac:dyDescent="0.3">
      <c r="B24" s="55" t="s">
        <v>40</v>
      </c>
      <c r="C24" s="10">
        <v>324.58</v>
      </c>
      <c r="D24" s="10">
        <v>348.22</v>
      </c>
      <c r="E24" s="10">
        <v>348.22</v>
      </c>
      <c r="F24" s="10">
        <v>206.38</v>
      </c>
      <c r="G24" s="10">
        <v>324.58</v>
      </c>
      <c r="H24" s="10">
        <v>312.76</v>
      </c>
      <c r="I24" s="10">
        <v>371.86</v>
      </c>
      <c r="J24" s="10">
        <v>230.02</v>
      </c>
      <c r="K24" s="10">
        <v>348.22</v>
      </c>
      <c r="L24" s="10">
        <v>371.86</v>
      </c>
      <c r="M24" s="10">
        <v>324.58</v>
      </c>
      <c r="N24" s="10">
        <v>535.95799999999997</v>
      </c>
      <c r="O24" s="4"/>
      <c r="P24" s="43">
        <f>SUM(C24:N24)</f>
        <v>4047.2380000000003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10248.620000000001</v>
      </c>
      <c r="D26" s="44">
        <f t="shared" si="2"/>
        <v>10273.58</v>
      </c>
      <c r="E26" s="44">
        <f t="shared" si="2"/>
        <v>10269.619999999999</v>
      </c>
      <c r="F26" s="44">
        <f t="shared" si="2"/>
        <v>8361.3700000000008</v>
      </c>
      <c r="G26" s="44">
        <f t="shared" si="2"/>
        <v>10294.74</v>
      </c>
      <c r="H26" s="44">
        <f t="shared" si="2"/>
        <v>10261.879999999999</v>
      </c>
      <c r="I26" s="44">
        <f t="shared" si="2"/>
        <v>10330.630000000001</v>
      </c>
      <c r="J26" s="44">
        <f t="shared" si="2"/>
        <v>10182.220000000001</v>
      </c>
      <c r="K26" s="44">
        <f t="shared" si="2"/>
        <v>10387.35</v>
      </c>
      <c r="L26" s="44">
        <f t="shared" si="2"/>
        <v>10324.060000000001</v>
      </c>
      <c r="M26" s="44">
        <f t="shared" si="2"/>
        <v>10276.780000000001</v>
      </c>
      <c r="N26" s="44">
        <f t="shared" si="2"/>
        <v>10488.158000000001</v>
      </c>
      <c r="O26" s="4"/>
      <c r="P26" s="60">
        <f>SUM(C26:N26)</f>
        <v>121699.008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1832.3799999999992</v>
      </c>
      <c r="D28" s="47">
        <f t="shared" si="3"/>
        <v>1723.42</v>
      </c>
      <c r="E28" s="47">
        <f t="shared" si="3"/>
        <v>1247.380000000001</v>
      </c>
      <c r="F28" s="47">
        <f t="shared" si="3"/>
        <v>-3468.3700000000008</v>
      </c>
      <c r="G28" s="47">
        <f t="shared" si="3"/>
        <v>778.26000000000022</v>
      </c>
      <c r="H28" s="47">
        <f t="shared" si="3"/>
        <v>-676.8799999999992</v>
      </c>
      <c r="I28" s="47">
        <f t="shared" si="3"/>
        <v>2290.369999999999</v>
      </c>
      <c r="J28" s="47">
        <f t="shared" si="3"/>
        <v>-4185.2200000000012</v>
      </c>
      <c r="K28" s="47">
        <f t="shared" si="3"/>
        <v>1879.6499999999996</v>
      </c>
      <c r="L28" s="47">
        <f t="shared" si="3"/>
        <v>2551.9399999999987</v>
      </c>
      <c r="M28" s="47">
        <f t="shared" si="3"/>
        <v>256.21999999999935</v>
      </c>
      <c r="N28" s="47">
        <f t="shared" si="3"/>
        <v>-75.158000000001266</v>
      </c>
      <c r="P28" s="59">
        <f>SUM(C28:N28)</f>
        <v>4153.9919999999947</v>
      </c>
    </row>
    <row r="30" spans="2:16" x14ac:dyDescent="0.3">
      <c r="B30" s="62" t="s">
        <v>37</v>
      </c>
      <c r="C30" s="54">
        <v>630</v>
      </c>
      <c r="D30" s="54">
        <v>630</v>
      </c>
      <c r="E30" s="54">
        <v>630</v>
      </c>
      <c r="F30" s="54">
        <v>270</v>
      </c>
      <c r="G30" s="54">
        <v>570</v>
      </c>
      <c r="H30" s="54">
        <v>540</v>
      </c>
      <c r="I30" s="54">
        <v>690</v>
      </c>
      <c r="J30" s="54">
        <v>330</v>
      </c>
      <c r="K30" s="54">
        <v>630</v>
      </c>
      <c r="L30" s="54">
        <v>690</v>
      </c>
      <c r="M30" s="54">
        <v>570</v>
      </c>
      <c r="N30" s="54">
        <v>247</v>
      </c>
      <c r="P30" s="61">
        <f>SUM(C30:N30)</f>
        <v>6427</v>
      </c>
    </row>
    <row r="31" spans="2:16" x14ac:dyDescent="0.3">
      <c r="B31" s="62" t="s">
        <v>38</v>
      </c>
      <c r="C31" s="54">
        <v>324.58</v>
      </c>
      <c r="D31" s="54">
        <v>348.22</v>
      </c>
      <c r="E31" s="54">
        <v>348.22</v>
      </c>
      <c r="F31" s="54">
        <v>206.38</v>
      </c>
      <c r="G31" s="54">
        <v>324.58</v>
      </c>
      <c r="H31" s="54">
        <v>312.76</v>
      </c>
      <c r="I31" s="54">
        <v>371.86</v>
      </c>
      <c r="J31" s="54">
        <v>230.02</v>
      </c>
      <c r="K31" s="54">
        <v>348.22</v>
      </c>
      <c r="L31" s="54">
        <v>371.86</v>
      </c>
      <c r="M31" s="54">
        <v>324.58</v>
      </c>
      <c r="N31" s="54">
        <v>535.95799999999997</v>
      </c>
      <c r="P31" s="61">
        <f>SUM(C31:N31)</f>
        <v>4047.2380000000003</v>
      </c>
    </row>
    <row r="33" spans="14:16" x14ac:dyDescent="0.3">
      <c r="N33" s="54" t="s">
        <v>44</v>
      </c>
      <c r="P33" s="61">
        <f>(P30*0.394) + 1515</f>
        <v>4047.2380000000003</v>
      </c>
    </row>
    <row r="34" spans="14:16" x14ac:dyDescent="0.3">
      <c r="N34" s="54" t="s">
        <v>45</v>
      </c>
      <c r="P34" s="61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4"/>
  <sheetViews>
    <sheetView tabSelected="1" workbookViewId="0">
      <selection activeCell="K23" sqref="K23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7</v>
      </c>
      <c r="K6" s="37"/>
      <c r="L6" s="37"/>
      <c r="M6" s="37"/>
      <c r="N6" s="37"/>
      <c r="O6" s="36"/>
      <c r="P6" s="57">
        <f>SUM(C6:N6)</f>
        <v>140</v>
      </c>
    </row>
    <row r="7" spans="2:16" x14ac:dyDescent="0.3">
      <c r="B7" s="9" t="s">
        <v>21</v>
      </c>
      <c r="C7" s="37">
        <v>18</v>
      </c>
      <c r="D7" s="37">
        <v>20</v>
      </c>
      <c r="E7" s="37">
        <v>18</v>
      </c>
      <c r="F7" s="37">
        <v>21</v>
      </c>
      <c r="G7" s="37">
        <v>19</v>
      </c>
      <c r="H7" s="37">
        <v>17</v>
      </c>
      <c r="I7" s="37">
        <v>22</v>
      </c>
      <c r="J7" s="37">
        <v>5</v>
      </c>
      <c r="K7" s="37"/>
      <c r="L7" s="37"/>
      <c r="M7" s="37"/>
      <c r="N7" s="37"/>
      <c r="O7" s="36"/>
      <c r="P7" s="57">
        <f>SUM(C7:N7)</f>
        <v>140</v>
      </c>
    </row>
    <row r="8" spans="2:16" x14ac:dyDescent="0.3">
      <c r="B8" s="18" t="s">
        <v>22</v>
      </c>
      <c r="C8" s="63">
        <f t="shared" ref="C8:N8" si="0">C7-C6</f>
        <v>-1</v>
      </c>
      <c r="D8" s="63">
        <f t="shared" si="0"/>
        <v>1</v>
      </c>
      <c r="E8" s="63">
        <f t="shared" si="0"/>
        <v>-1</v>
      </c>
      <c r="F8" s="63">
        <f t="shared" si="0"/>
        <v>2</v>
      </c>
      <c r="G8" s="63">
        <f t="shared" si="0"/>
        <v>0</v>
      </c>
      <c r="H8" s="63">
        <f t="shared" si="0"/>
        <v>-2</v>
      </c>
      <c r="I8" s="63">
        <f t="shared" si="0"/>
        <v>3</v>
      </c>
      <c r="J8" s="63">
        <f t="shared" si="0"/>
        <v>-2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18</v>
      </c>
      <c r="D11" s="11">
        <v>20</v>
      </c>
      <c r="E11" s="11">
        <v>18</v>
      </c>
      <c r="F11" s="11">
        <v>21</v>
      </c>
      <c r="G11" s="11">
        <v>19</v>
      </c>
      <c r="H11" s="11">
        <v>16.5</v>
      </c>
      <c r="I11" s="11">
        <v>22</v>
      </c>
      <c r="J11" s="11">
        <v>5</v>
      </c>
      <c r="K11" s="11"/>
      <c r="L11" s="11"/>
      <c r="M11" s="11"/>
      <c r="N11" s="11"/>
      <c r="P11" s="58">
        <f>SUM(C11:N11)</f>
        <v>139.5</v>
      </c>
    </row>
    <row r="12" spans="2:16" x14ac:dyDescent="0.3">
      <c r="B12" s="9" t="s">
        <v>16</v>
      </c>
      <c r="C12" s="12">
        <v>4</v>
      </c>
      <c r="D12" s="12"/>
      <c r="E12" s="12">
        <v>3</v>
      </c>
      <c r="F12" s="12"/>
      <c r="G12" s="12"/>
      <c r="H12" s="12">
        <v>3.5</v>
      </c>
      <c r="I12" s="12"/>
      <c r="J12" s="12">
        <v>15</v>
      </c>
      <c r="K12" s="12"/>
      <c r="L12" s="12"/>
      <c r="M12" s="12"/>
      <c r="N12" s="12"/>
      <c r="P12" s="58">
        <f>SUM(C12:N12)</f>
        <v>25.5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>
        <v>1</v>
      </c>
      <c r="E14" s="23"/>
      <c r="F14" s="23">
        <f>0.2+0.5</f>
        <v>0.7</v>
      </c>
      <c r="G14" s="23"/>
      <c r="H14" s="23">
        <v>2</v>
      </c>
      <c r="I14" s="23">
        <v>0.125</v>
      </c>
      <c r="J14" s="23"/>
      <c r="K14" s="23"/>
      <c r="L14" s="23"/>
      <c r="M14" s="23"/>
      <c r="N14" s="23"/>
      <c r="P14" s="58">
        <f>SUM(C14:N14)</f>
        <v>3.8250000000000002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9861</v>
      </c>
      <c r="D17" s="10">
        <f>D11*Params!$C$7*(1-Params!$C$3)-Params!$C$4</f>
        <v>11333</v>
      </c>
      <c r="E17" s="10">
        <f>E11*Params!$C$7*(1-Params!$C$3)-Params!$C$4</f>
        <v>10192.200000000001</v>
      </c>
      <c r="F17" s="10">
        <f>F11*Params!$C$7*(1-Params!$C$3)-Params!$C$4</f>
        <v>11903.4</v>
      </c>
      <c r="G17" s="10">
        <f>G11*Params!$C$7*(1-Params!$C$3)-Params!$C$4</f>
        <v>10762.6</v>
      </c>
      <c r="H17" s="10">
        <f>H11*Params!$C$7*(1-Params!$C$3)-Params!$C$4</f>
        <v>9336.6</v>
      </c>
      <c r="I17" s="10">
        <f>I11*Params!$C$7*(1-Params!$C$3)-Params!$C$4</f>
        <v>12473.800000000001</v>
      </c>
      <c r="J17" s="10">
        <f>J11*Params!$C$7*(1-Params!$C$3)-Params!$C$4</f>
        <v>2777</v>
      </c>
      <c r="K17" s="10"/>
      <c r="L17" s="10"/>
      <c r="M17" s="10"/>
      <c r="N17" s="10"/>
      <c r="O17" s="4"/>
      <c r="P17" s="41">
        <f>SUM(C17:N17)</f>
        <v>78639.599999999991</v>
      </c>
    </row>
    <row r="18" spans="2:16" x14ac:dyDescent="0.3">
      <c r="B18" s="9" t="s">
        <v>15</v>
      </c>
      <c r="C18" s="10"/>
      <c r="D18" s="10">
        <v>124</v>
      </c>
      <c r="E18" s="10"/>
      <c r="F18" s="10">
        <v>372</v>
      </c>
      <c r="G18" s="10"/>
      <c r="H18" s="10">
        <v>372</v>
      </c>
      <c r="I18" s="10"/>
      <c r="J18" s="10"/>
      <c r="K18" s="10"/>
      <c r="L18" s="10"/>
      <c r="M18" s="10"/>
      <c r="N18" s="10"/>
      <c r="O18" s="4"/>
      <c r="P18" s="41">
        <f>SUM(C18:N18)</f>
        <v>868</v>
      </c>
    </row>
    <row r="19" spans="2:16" x14ac:dyDescent="0.3">
      <c r="B19" s="27" t="s">
        <v>2</v>
      </c>
      <c r="C19" s="28">
        <f t="shared" ref="C19:N19" si="1">SUM(C17:C18)</f>
        <v>9861</v>
      </c>
      <c r="D19" s="28">
        <f t="shared" si="1"/>
        <v>11457</v>
      </c>
      <c r="E19" s="28">
        <f t="shared" si="1"/>
        <v>10192.200000000001</v>
      </c>
      <c r="F19" s="28">
        <f t="shared" si="1"/>
        <v>12275.4</v>
      </c>
      <c r="G19" s="28">
        <f t="shared" si="1"/>
        <v>10762.6</v>
      </c>
      <c r="H19" s="28">
        <f t="shared" si="1"/>
        <v>9708.6</v>
      </c>
      <c r="I19" s="28">
        <f t="shared" si="1"/>
        <v>12473.800000000001</v>
      </c>
      <c r="J19" s="28">
        <f t="shared" si="1"/>
        <v>2777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79507.599999999991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6121.06</v>
      </c>
      <c r="D22" s="10">
        <v>6507.15</v>
      </c>
      <c r="E22" s="10">
        <v>6507.15</v>
      </c>
      <c r="F22" s="10">
        <v>6507.15</v>
      </c>
      <c r="G22" s="10">
        <v>6507.15</v>
      </c>
      <c r="H22" s="10">
        <v>6507.15</v>
      </c>
      <c r="I22" s="10">
        <v>6507.15</v>
      </c>
      <c r="J22" s="10">
        <v>6374.38</v>
      </c>
      <c r="K22" s="10"/>
      <c r="L22" s="10"/>
      <c r="M22" s="10"/>
      <c r="N22" s="10"/>
      <c r="O22" s="4"/>
      <c r="P22" s="43">
        <f>SUM(C22:N22)</f>
        <v>51538.340000000004</v>
      </c>
    </row>
    <row r="23" spans="2:16" x14ac:dyDescent="0.3">
      <c r="B23" s="9" t="s">
        <v>8</v>
      </c>
      <c r="C23" s="10">
        <f>1274.23+2573.07</f>
        <v>3847.3</v>
      </c>
      <c r="D23" s="10">
        <f>1348.58+2736.71</f>
        <v>4085.29</v>
      </c>
      <c r="E23" s="10">
        <f>1348.58+2726.83</f>
        <v>4075.41</v>
      </c>
      <c r="F23" s="10">
        <f>1348.58+2734.72</f>
        <v>4083.2999999999997</v>
      </c>
      <c r="G23" s="10">
        <f>1348.58+2726.83</f>
        <v>4075.41</v>
      </c>
      <c r="H23" s="10">
        <f>1348.58+2726.83</f>
        <v>4075.41</v>
      </c>
      <c r="I23" s="10">
        <f>1348.58+2736.04</f>
        <v>4084.62</v>
      </c>
      <c r="J23" s="10">
        <f>1333.03+2675.61</f>
        <v>4008.6400000000003</v>
      </c>
      <c r="K23" s="10"/>
      <c r="L23" s="10"/>
      <c r="M23" s="10"/>
      <c r="N23" s="10"/>
      <c r="O23" s="4"/>
      <c r="P23" s="43">
        <f>SUM(C23:N23)</f>
        <v>32335.379999999997</v>
      </c>
    </row>
    <row r="24" spans="2:16" x14ac:dyDescent="0.3">
      <c r="B24" s="55" t="s">
        <v>40</v>
      </c>
      <c r="C24" s="10">
        <v>163.09800000000001</v>
      </c>
      <c r="D24" s="10">
        <v>181.22</v>
      </c>
      <c r="E24" s="10">
        <v>163.09800000000001</v>
      </c>
      <c r="F24" s="10">
        <v>190.28</v>
      </c>
      <c r="G24" s="10">
        <v>172.16</v>
      </c>
      <c r="H24" s="10">
        <v>154.04</v>
      </c>
      <c r="I24" s="10">
        <v>199.34</v>
      </c>
      <c r="J24" s="10">
        <v>45.31</v>
      </c>
      <c r="K24" s="10"/>
      <c r="L24" s="10"/>
      <c r="M24" s="10"/>
      <c r="N24" s="10"/>
      <c r="O24" s="4"/>
      <c r="P24" s="43">
        <f>SUM(C24:N24)</f>
        <v>1268.5459999999998</v>
      </c>
    </row>
    <row r="25" spans="2:16" x14ac:dyDescent="0.3">
      <c r="B25" s="55" t="s">
        <v>42</v>
      </c>
      <c r="C25" s="64">
        <v>966.46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966.46</v>
      </c>
    </row>
    <row r="26" spans="2:16" x14ac:dyDescent="0.3">
      <c r="B26" s="8" t="s">
        <v>3</v>
      </c>
      <c r="C26" s="44">
        <f t="shared" ref="C26:N26" si="2">SUM(C22:C25)</f>
        <v>11097.918000000001</v>
      </c>
      <c r="D26" s="44">
        <f t="shared" si="2"/>
        <v>10773.659999999998</v>
      </c>
      <c r="E26" s="44">
        <f t="shared" si="2"/>
        <v>10745.657999999999</v>
      </c>
      <c r="F26" s="44">
        <f t="shared" si="2"/>
        <v>10780.73</v>
      </c>
      <c r="G26" s="44">
        <f t="shared" si="2"/>
        <v>10754.72</v>
      </c>
      <c r="H26" s="44">
        <f t="shared" si="2"/>
        <v>10736.6</v>
      </c>
      <c r="I26" s="44">
        <f t="shared" si="2"/>
        <v>10791.11</v>
      </c>
      <c r="J26" s="44">
        <f t="shared" si="2"/>
        <v>10428.33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86108.72600000001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-1236.9180000000015</v>
      </c>
      <c r="D28" s="47">
        <f t="shared" si="3"/>
        <v>683.34000000000196</v>
      </c>
      <c r="E28" s="47">
        <f t="shared" si="3"/>
        <v>-553.45799999999872</v>
      </c>
      <c r="F28" s="47">
        <f t="shared" si="3"/>
        <v>1494.67</v>
      </c>
      <c r="G28" s="47">
        <f t="shared" si="3"/>
        <v>7.8800000000010186</v>
      </c>
      <c r="H28" s="47">
        <f t="shared" si="3"/>
        <v>-1028</v>
      </c>
      <c r="I28" s="47">
        <f t="shared" si="3"/>
        <v>1682.6900000000005</v>
      </c>
      <c r="J28" s="47">
        <f t="shared" si="3"/>
        <v>-7651.33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-6601.1259999999966</v>
      </c>
    </row>
    <row r="30" spans="2:16" x14ac:dyDescent="0.3">
      <c r="B30" s="62" t="s">
        <v>37</v>
      </c>
      <c r="C30" s="54">
        <v>234</v>
      </c>
      <c r="D30" s="54">
        <v>260</v>
      </c>
      <c r="E30" s="54">
        <v>234</v>
      </c>
      <c r="F30" s="54">
        <v>273</v>
      </c>
      <c r="G30" s="54">
        <v>247</v>
      </c>
      <c r="H30" s="54">
        <v>221</v>
      </c>
      <c r="I30" s="54">
        <v>286</v>
      </c>
      <c r="J30" s="54">
        <v>65</v>
      </c>
      <c r="K30" s="54"/>
      <c r="L30" s="54"/>
      <c r="M30" s="54"/>
      <c r="N30" s="54"/>
      <c r="P30" s="61">
        <f>SUM(C30:N30)</f>
        <v>1820</v>
      </c>
    </row>
    <row r="31" spans="2:16" x14ac:dyDescent="0.3">
      <c r="B31" s="62" t="s">
        <v>38</v>
      </c>
      <c r="C31" s="54">
        <v>163.09800000000001</v>
      </c>
      <c r="D31" s="54">
        <v>181.22</v>
      </c>
      <c r="E31" s="54">
        <v>163.09800000000001</v>
      </c>
      <c r="F31" s="54">
        <v>190.28</v>
      </c>
      <c r="G31" s="54">
        <v>172.16</v>
      </c>
      <c r="H31" s="54">
        <v>154.04</v>
      </c>
      <c r="I31" s="54">
        <v>199.34</v>
      </c>
      <c r="J31" s="54">
        <v>45.31</v>
      </c>
      <c r="K31" s="54"/>
      <c r="L31" s="54"/>
      <c r="M31" s="54"/>
      <c r="N31" s="54"/>
      <c r="P31" s="61">
        <f>SUM(C31:N31)</f>
        <v>1268.5459999999998</v>
      </c>
    </row>
    <row r="33" spans="14:16" x14ac:dyDescent="0.3">
      <c r="N33" s="54" t="s">
        <v>44</v>
      </c>
      <c r="P33" s="61">
        <f>(P30*0.394) + 1515</f>
        <v>2232.08</v>
      </c>
    </row>
    <row r="34" spans="14:16" x14ac:dyDescent="0.3">
      <c r="N34" s="54" t="s">
        <v>45</v>
      </c>
      <c r="P34" s="61">
        <f>P33-P31</f>
        <v>963.53400000000011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B11" sqref="B11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  <row r="6" spans="2:3" ht="31.5" customHeight="1" x14ac:dyDescent="0.3">
      <c r="B6" s="33" t="s">
        <v>43</v>
      </c>
      <c r="C6" s="33">
        <v>600</v>
      </c>
    </row>
    <row r="7" spans="2:3" x14ac:dyDescent="0.3">
      <c r="B7" s="65" t="s">
        <v>47</v>
      </c>
      <c r="C7" s="66">
        <v>620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33</v>
      </c>
      <c r="C2" s="71"/>
    </row>
    <row r="3" spans="2:3" ht="16.95" customHeight="1" x14ac:dyDescent="0.3">
      <c r="B3" s="38" t="s">
        <v>34</v>
      </c>
      <c r="C3" s="39">
        <f>SUM('2023'!P28)+('2024'!P28)+'2025'!P28</f>
        <v>-3199.4639999999972</v>
      </c>
    </row>
    <row r="4" spans="2:3" ht="16.95" customHeight="1" x14ac:dyDescent="0.3">
      <c r="B4" s="38" t="s">
        <v>39</v>
      </c>
      <c r="C4" s="40">
        <f>'2023'!P12+'2024'!P12+'2025'!P12</f>
        <v>66.5</v>
      </c>
    </row>
    <row r="5" spans="2:3" x14ac:dyDescent="0.3">
      <c r="B5" t="s">
        <v>46</v>
      </c>
      <c r="C5">
        <f>(29*2.06)+1.04-C4</f>
        <v>-5.7199999999999989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2025-09-11T09:25:35Z</dcterms:modified>
</cp:coreProperties>
</file>