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03B73931-257F-4C2A-B08D-22CFE6ED3897}" xr6:coauthVersionLast="47" xr6:coauthVersionMax="47" xr10:uidLastSave="{00000000-0000-0000-0000-000000000000}"/>
  <bookViews>
    <workbookView xWindow="732" yWindow="732" windowWidth="17280" windowHeight="10728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'2025'!$B$14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'2025'!$B$28</definedName>
    <definedName name="SORTIES" localSheetId="0">'2023'!$B$21</definedName>
    <definedName name="SORTIES" localSheetId="1">'2024'!$B$21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7" l="1"/>
  <c r="J18" i="17"/>
  <c r="I24" i="17" l="1"/>
  <c r="I18" i="17"/>
  <c r="H24" i="17" l="1"/>
  <c r="H18" i="17"/>
  <c r="G24" i="17" l="1"/>
  <c r="G18" i="17"/>
  <c r="F24" i="17" l="1"/>
  <c r="F18" i="17" l="1"/>
  <c r="N26" i="17" l="1"/>
  <c r="M26" i="17"/>
  <c r="L26" i="17"/>
  <c r="K26" i="17"/>
  <c r="J26" i="17"/>
  <c r="I26" i="17"/>
  <c r="H26" i="17"/>
  <c r="G26" i="17"/>
  <c r="F26" i="17"/>
  <c r="P25" i="17"/>
  <c r="E24" i="17"/>
  <c r="E26" i="17" s="1"/>
  <c r="D24" i="17"/>
  <c r="D26" i="17" s="1"/>
  <c r="C24" i="17"/>
  <c r="C26" i="17" s="1"/>
  <c r="P23" i="17"/>
  <c r="N20" i="17"/>
  <c r="M20" i="17"/>
  <c r="M28" i="17" s="1"/>
  <c r="L20" i="17"/>
  <c r="K20" i="17"/>
  <c r="J20" i="17"/>
  <c r="I20" i="17"/>
  <c r="H20" i="17"/>
  <c r="G20" i="17"/>
  <c r="F20" i="17"/>
  <c r="E20" i="17"/>
  <c r="P19" i="17"/>
  <c r="E18" i="17"/>
  <c r="D18" i="17"/>
  <c r="D20" i="17" s="1"/>
  <c r="C18" i="17"/>
  <c r="C20" i="17" s="1"/>
  <c r="P15" i="17"/>
  <c r="P14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F25" i="16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E23" i="16"/>
  <c r="E25" i="16" s="1"/>
  <c r="D23" i="16"/>
  <c r="D25" i="16" s="1"/>
  <c r="C23" i="16"/>
  <c r="P22" i="16"/>
  <c r="P18" i="16"/>
  <c r="N17" i="16"/>
  <c r="N19" i="16" s="1"/>
  <c r="M17" i="16"/>
  <c r="M19" i="16" s="1"/>
  <c r="L17" i="16"/>
  <c r="L19" i="16" s="1"/>
  <c r="K17" i="16"/>
  <c r="K19" i="16" s="1"/>
  <c r="K27" i="16" s="1"/>
  <c r="J17" i="16"/>
  <c r="J19" i="16" s="1"/>
  <c r="I17" i="16"/>
  <c r="I19" i="16" s="1"/>
  <c r="H17" i="16"/>
  <c r="H19" i="16" s="1"/>
  <c r="G17" i="16"/>
  <c r="G19" i="16" s="1"/>
  <c r="F17" i="16"/>
  <c r="F19" i="16" s="1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C24" i="15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F23" i="15"/>
  <c r="F24" i="15" s="1"/>
  <c r="E23" i="15"/>
  <c r="E24" i="15" s="1"/>
  <c r="D23" i="15"/>
  <c r="D24" i="15" s="1"/>
  <c r="C23" i="15"/>
  <c r="P22" i="15"/>
  <c r="P18" i="15"/>
  <c r="N17" i="15"/>
  <c r="N19" i="15" s="1"/>
  <c r="M17" i="15"/>
  <c r="M19" i="15" s="1"/>
  <c r="M26" i="15" s="1"/>
  <c r="L17" i="15"/>
  <c r="L19" i="15" s="1"/>
  <c r="K17" i="15"/>
  <c r="K19" i="15" s="1"/>
  <c r="J17" i="15"/>
  <c r="J19" i="15" s="1"/>
  <c r="I17" i="15"/>
  <c r="I19" i="15" s="1"/>
  <c r="H17" i="15"/>
  <c r="H19" i="15" s="1"/>
  <c r="H26" i="15" s="1"/>
  <c r="G17" i="15"/>
  <c r="G19" i="15" s="1"/>
  <c r="F17" i="15"/>
  <c r="F19" i="15" s="1"/>
  <c r="E17" i="15"/>
  <c r="E19" i="15" s="1"/>
  <c r="E26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I26" i="15" l="1"/>
  <c r="P8" i="16"/>
  <c r="F27" i="16"/>
  <c r="N27" i="16"/>
  <c r="J28" i="17"/>
  <c r="H27" i="16"/>
  <c r="I27" i="16"/>
  <c r="J27" i="16"/>
  <c r="N28" i="17"/>
  <c r="G27" i="16"/>
  <c r="F26" i="15"/>
  <c r="N26" i="15"/>
  <c r="D26" i="15"/>
  <c r="H28" i="17"/>
  <c r="P18" i="17"/>
  <c r="I28" i="17"/>
  <c r="J26" i="15"/>
  <c r="K26" i="15"/>
  <c r="L26" i="15"/>
  <c r="P23" i="16"/>
  <c r="P8" i="15"/>
  <c r="P23" i="15"/>
  <c r="L27" i="16"/>
  <c r="C25" i="16"/>
  <c r="C27" i="16" s="1"/>
  <c r="C4" i="13"/>
  <c r="C5" i="13" s="1"/>
  <c r="K28" i="17"/>
  <c r="P17" i="15"/>
  <c r="E27" i="16"/>
  <c r="M27" i="16"/>
  <c r="L28" i="17"/>
  <c r="G28" i="17"/>
  <c r="P8" i="17"/>
  <c r="F28" i="17"/>
  <c r="P20" i="17"/>
  <c r="P26" i="17"/>
  <c r="P19" i="16"/>
  <c r="D27" i="16"/>
  <c r="D28" i="17"/>
  <c r="E28" i="17"/>
  <c r="P17" i="16"/>
  <c r="C28" i="17"/>
  <c r="P24" i="17"/>
  <c r="G24" i="15"/>
  <c r="P24" i="15" s="1"/>
  <c r="C19" i="15"/>
  <c r="P25" i="16" l="1"/>
  <c r="G26" i="15"/>
  <c r="P27" i="16"/>
  <c r="C26" i="15"/>
  <c r="P26" i="15" s="1"/>
  <c r="P19" i="15"/>
  <c r="P28" i="17"/>
  <c r="C3" i="13" l="1"/>
</calcChain>
</file>

<file path=xl/sharedStrings.xml><?xml version="1.0" encoding="utf-8"?>
<sst xmlns="http://schemas.openxmlformats.org/spreadsheetml/2006/main" count="111" uniqueCount="43">
  <si>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</si>
  <si>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</si>
  <si>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</si>
  <si>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</si>
  <si>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</si>
  <si>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</si>
  <si>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</si>
  <si>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</si>
  <si>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</si>
  <si>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</si>
  <si>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</si>
  <si>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</si>
  <si>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</si>
  <si>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</si>
  <si>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</si>
  <si>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</si>
  <si>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</si>
  <si>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</si>
  <si>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</si>
  <si>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</si>
  <si>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</si>
  <si>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</si>
  <si>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</si>
  <si>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</si>
  <si>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</si>
  <si>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</si>
  <si>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</si>
  <si>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</si>
  <si>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</si>
  <si>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</si>
  <si>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</si>
  <si>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</si>
  <si>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</si>
  <si>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</si>
  <si>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</si>
  <si>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</si>
  <si>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</si>
  <si>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</si>
  <si>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</si>
  <si>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</t>
  </si>
  <si>
    <t>TJM (Avril 2024)</t>
  </si>
  <si>
    <t>Solde Congé</t>
  </si>
  <si>
    <t>Maladie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</si>
</sst>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M22" sqref="M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0</v>
      </c>
      <c r="O6" s="31"/>
      <c r="P6" s="52">
        <f>SUM(C6:N6)</f>
        <v>220</v>
      </c>
    </row>
    <row r="7" spans="2:16" x14ac:dyDescent="0.3">
      <c r="B7" s="8" t="s">
        <v>20</v>
      </c>
      <c r="C7" s="33">
        <v>21</v>
      </c>
      <c r="D7" s="33">
        <v>19</v>
      </c>
      <c r="E7" s="33">
        <v>20</v>
      </c>
      <c r="F7" s="33">
        <v>18</v>
      </c>
      <c r="G7" s="33">
        <v>17</v>
      </c>
      <c r="H7" s="33">
        <v>22</v>
      </c>
      <c r="I7" s="33">
        <v>9</v>
      </c>
      <c r="J7" s="33">
        <v>21</v>
      </c>
      <c r="K7" s="33">
        <v>21</v>
      </c>
      <c r="L7" s="33">
        <v>20</v>
      </c>
      <c r="M7" s="33">
        <v>4</v>
      </c>
      <c r="N7" s="33">
        <v>18</v>
      </c>
      <c r="O7" s="31"/>
      <c r="P7" s="52">
        <f>SUM(C7:N7)</f>
        <v>210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-1</v>
      </c>
      <c r="E8" s="32">
        <f t="shared" si="0"/>
        <v>0</v>
      </c>
      <c r="F8" s="32">
        <f t="shared" si="0"/>
        <v>-2</v>
      </c>
      <c r="G8" s="32">
        <f t="shared" si="0"/>
        <v>-3</v>
      </c>
      <c r="H8" s="32">
        <f t="shared" si="0"/>
        <v>2</v>
      </c>
      <c r="I8" s="32">
        <f t="shared" si="0"/>
        <v>-11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-16</v>
      </c>
      <c r="N8" s="32">
        <f t="shared" si="0"/>
        <v>18</v>
      </c>
      <c r="O8" s="31"/>
      <c r="P8" s="52">
        <f>SUM(C8:N8)</f>
        <v>-10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21</v>
      </c>
      <c r="D11" s="10">
        <v>19</v>
      </c>
      <c r="E11" s="10">
        <v>20</v>
      </c>
      <c r="F11" s="10">
        <v>18</v>
      </c>
      <c r="G11" s="10">
        <v>17</v>
      </c>
      <c r="H11" s="10">
        <v>22</v>
      </c>
      <c r="I11" s="10">
        <v>9</v>
      </c>
      <c r="J11" s="10">
        <v>21</v>
      </c>
      <c r="K11" s="10">
        <v>21</v>
      </c>
      <c r="L11" s="10">
        <v>20</v>
      </c>
      <c r="M11" s="10">
        <v>4</v>
      </c>
      <c r="N11" s="10">
        <v>18</v>
      </c>
      <c r="P11" s="53">
        <f>SUM(C11:N11)</f>
        <v>210</v>
      </c>
    </row>
    <row r="12" spans="2:16" x14ac:dyDescent="0.3">
      <c r="B12" s="8" t="s">
        <v>15</v>
      </c>
      <c r="C12" s="11">
        <v>1</v>
      </c>
      <c r="D12" s="11">
        <v>1</v>
      </c>
      <c r="E12" s="11">
        <v>3</v>
      </c>
      <c r="F12" s="11">
        <v>1</v>
      </c>
      <c r="G12" s="11">
        <v>2</v>
      </c>
      <c r="H12" s="11"/>
      <c r="I12" s="11">
        <v>11</v>
      </c>
      <c r="J12" s="11">
        <v>1</v>
      </c>
      <c r="K12" s="11"/>
      <c r="L12" s="11">
        <v>0</v>
      </c>
      <c r="M12" s="11">
        <v>0</v>
      </c>
      <c r="N12" s="11">
        <v>2</v>
      </c>
      <c r="P12" s="53">
        <f>SUM(C12:N12)</f>
        <v>22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2</v>
      </c>
      <c r="M13" s="11">
        <v>17</v>
      </c>
      <c r="N13" s="11"/>
      <c r="P13" s="53">
        <f>SUM(C13:N13)</f>
        <v>19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9585</v>
      </c>
      <c r="D17" s="9">
        <f>D11*Params!$C$5*(1-Params!$C$3)-Params!$C$4</f>
        <v>8665</v>
      </c>
      <c r="E17" s="9">
        <f>E11*Params!$C$5*(1-Params!$C$3)-Params!$C$4</f>
        <v>9125</v>
      </c>
      <c r="F17" s="9">
        <f>F11*Params!$C$5*(1-Params!$C$3)-Params!$C$4</f>
        <v>8205</v>
      </c>
      <c r="G17" s="9">
        <f>G11*Params!$C$5*(1-Params!$C$3)-Params!$C$4</f>
        <v>7745</v>
      </c>
      <c r="H17" s="9">
        <f>H11*Params!$C$5*(1-Params!$C$3)-Params!$C$4</f>
        <v>10045</v>
      </c>
      <c r="I17" s="9">
        <f>I11*Params!$C$5*(1-Params!$C$3)-Params!$C$4</f>
        <v>4065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9125</v>
      </c>
      <c r="M17" s="9">
        <f>M11*Params!$C$5*(1-Params!$C$3)-Params!$C$4</f>
        <v>1765</v>
      </c>
      <c r="N17" s="9">
        <f>N11*Params!$C$5*(1-Params!$C$3)-Params!$C$4</f>
        <v>8205</v>
      </c>
      <c r="O17" s="4"/>
      <c r="P17" s="37">
        <f>SUM(C17:N17)</f>
        <v>95700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9585</v>
      </c>
      <c r="D19" s="25">
        <f t="shared" si="1"/>
        <v>8665</v>
      </c>
      <c r="E19" s="25">
        <f t="shared" si="1"/>
        <v>9125</v>
      </c>
      <c r="F19" s="25">
        <f t="shared" si="1"/>
        <v>8205</v>
      </c>
      <c r="G19" s="25">
        <f t="shared" si="1"/>
        <v>7745</v>
      </c>
      <c r="H19" s="25">
        <f t="shared" si="1"/>
        <v>10045</v>
      </c>
      <c r="I19" s="25">
        <f t="shared" si="1"/>
        <v>4065</v>
      </c>
      <c r="J19" s="25">
        <f t="shared" si="1"/>
        <v>9585</v>
      </c>
      <c r="K19" s="25">
        <f t="shared" si="1"/>
        <v>9585</v>
      </c>
      <c r="L19" s="25">
        <f t="shared" si="1"/>
        <v>9125</v>
      </c>
      <c r="M19" s="25">
        <f t="shared" si="1"/>
        <v>1765</v>
      </c>
      <c r="N19" s="25">
        <f t="shared" si="1"/>
        <v>8205</v>
      </c>
      <c r="O19" s="5"/>
      <c r="P19" s="38">
        <f>SUM(C19:N19)</f>
        <v>95700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5827.14</v>
      </c>
      <c r="D22" s="9">
        <v>5827.14</v>
      </c>
      <c r="E22" s="9">
        <v>5827.14</v>
      </c>
      <c r="F22" s="9">
        <v>5827.14</v>
      </c>
      <c r="G22" s="9">
        <v>5827.14</v>
      </c>
      <c r="H22" s="9">
        <v>5827.14</v>
      </c>
      <c r="I22" s="9">
        <v>5827.14</v>
      </c>
      <c r="J22" s="9">
        <v>5827.14</v>
      </c>
      <c r="K22" s="9">
        <v>5587.78</v>
      </c>
      <c r="L22" s="9">
        <v>5348.32</v>
      </c>
      <c r="M22" s="9">
        <v>1854.03</v>
      </c>
      <c r="N22" s="9">
        <v>5555.38</v>
      </c>
      <c r="O22" s="4"/>
      <c r="P22" s="39">
        <f>SUM(C22:N22)</f>
        <v>64962.63</v>
      </c>
    </row>
    <row r="23" spans="2:16" x14ac:dyDescent="0.3">
      <c r="B23" s="8" t="s">
        <v>8</v>
      </c>
      <c r="C23" s="9">
        <f>1102.41+2191.4</f>
        <v>3293.8100000000004</v>
      </c>
      <c r="D23" s="9">
        <f>1102.41+2194.04</f>
        <v>3296.45</v>
      </c>
      <c r="E23" s="9">
        <f>1102.41+2194.04</f>
        <v>3296.45</v>
      </c>
      <c r="F23" s="9">
        <f>1102.41+2199.29</f>
        <v>3301.7</v>
      </c>
      <c r="G23" s="9">
        <f>1102.41+2196.73</f>
        <v>3299.1400000000003</v>
      </c>
      <c r="H23" s="9">
        <f>1102.41+316.12</f>
        <v>1418.5300000000002</v>
      </c>
      <c r="I23" s="9">
        <f>1102.41+1870.48</f>
        <v>2972.8900000000003</v>
      </c>
      <c r="J23" s="9">
        <f>1102.41+1899.41</f>
        <v>3001.82</v>
      </c>
      <c r="K23" s="9">
        <f>1054.99+1791.88</f>
        <v>2846.87</v>
      </c>
      <c r="L23" s="9">
        <f>1007.69+1708.04</f>
        <v>2715.73</v>
      </c>
      <c r="M23" s="9">
        <f>306.78+515.97</f>
        <v>822.75</v>
      </c>
      <c r="N23" s="9">
        <f>1136.57+1828.48</f>
        <v>2965.05</v>
      </c>
      <c r="O23" s="4"/>
      <c r="P23" s="39">
        <f>SUM(C23:N23)</f>
        <v>33231.189999999995</v>
      </c>
    </row>
    <row r="24" spans="2:16" x14ac:dyDescent="0.3">
      <c r="B24" s="7" t="s">
        <v>3</v>
      </c>
      <c r="C24" s="40">
        <f t="shared" ref="C24:N24" si="2">SUM(C22:C23)</f>
        <v>9120.9500000000007</v>
      </c>
      <c r="D24" s="40">
        <f t="shared" si="2"/>
        <v>9123.59</v>
      </c>
      <c r="E24" s="40">
        <f t="shared" si="2"/>
        <v>9123.59</v>
      </c>
      <c r="F24" s="40">
        <f t="shared" si="2"/>
        <v>9128.84</v>
      </c>
      <c r="G24" s="40">
        <f t="shared" si="2"/>
        <v>9126.2800000000007</v>
      </c>
      <c r="H24" s="40">
        <f t="shared" si="2"/>
        <v>7245.67</v>
      </c>
      <c r="I24" s="40">
        <f t="shared" si="2"/>
        <v>8800.0300000000007</v>
      </c>
      <c r="J24" s="40">
        <f t="shared" si="2"/>
        <v>8828.9600000000009</v>
      </c>
      <c r="K24" s="40">
        <f t="shared" si="2"/>
        <v>8434.65</v>
      </c>
      <c r="L24" s="40">
        <f t="shared" si="2"/>
        <v>8064.0499999999993</v>
      </c>
      <c r="M24" s="40">
        <f t="shared" si="2"/>
        <v>2676.7799999999997</v>
      </c>
      <c r="N24" s="40">
        <f t="shared" si="2"/>
        <v>8520.43</v>
      </c>
      <c r="O24" s="4"/>
      <c r="P24" s="41">
        <f>SUM(C24:N24)</f>
        <v>98193.82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464.04999999999927</v>
      </c>
      <c r="D26" s="44">
        <f t="shared" si="3"/>
        <v>-458.59000000000015</v>
      </c>
      <c r="E26" s="44">
        <f t="shared" si="3"/>
        <v>1.4099999999998545</v>
      </c>
      <c r="F26" s="44">
        <f t="shared" si="3"/>
        <v>-923.84000000000015</v>
      </c>
      <c r="G26" s="44">
        <f t="shared" si="3"/>
        <v>-1381.2800000000007</v>
      </c>
      <c r="H26" s="44">
        <f t="shared" si="3"/>
        <v>2799.33</v>
      </c>
      <c r="I26" s="44">
        <f t="shared" si="3"/>
        <v>-4735.0300000000007</v>
      </c>
      <c r="J26" s="44">
        <f t="shared" si="3"/>
        <v>756.03999999999905</v>
      </c>
      <c r="K26" s="44">
        <f t="shared" si="3"/>
        <v>1150.3500000000004</v>
      </c>
      <c r="L26" s="44">
        <f t="shared" si="3"/>
        <v>1060.9500000000007</v>
      </c>
      <c r="M26" s="44">
        <f t="shared" si="3"/>
        <v>-911.77999999999975</v>
      </c>
      <c r="N26" s="44">
        <f t="shared" si="3"/>
        <v>-315.43000000000029</v>
      </c>
      <c r="P26" s="54">
        <f>SUM(C26:N26)</f>
        <v>-2493.8200000000024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topLeftCell="A16"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5</v>
      </c>
      <c r="L6" s="33">
        <v>20</v>
      </c>
      <c r="M6" s="33">
        <v>17</v>
      </c>
      <c r="N6" s="33">
        <v>10</v>
      </c>
      <c r="O6" s="31"/>
      <c r="P6" s="52">
        <f>SUM(C6:N6)</f>
        <v>212</v>
      </c>
    </row>
    <row r="7" spans="2:16" x14ac:dyDescent="0.3">
      <c r="B7" s="8" t="s">
        <v>20</v>
      </c>
      <c r="C7" s="33">
        <v>22</v>
      </c>
      <c r="D7" s="33">
        <v>21</v>
      </c>
      <c r="E7" s="33">
        <v>17</v>
      </c>
      <c r="F7" s="33">
        <v>21</v>
      </c>
      <c r="G7" s="33">
        <v>18</v>
      </c>
      <c r="H7" s="33">
        <v>20</v>
      </c>
      <c r="I7" s="33">
        <v>17</v>
      </c>
      <c r="J7" s="33">
        <v>20</v>
      </c>
      <c r="K7" s="33">
        <v>9</v>
      </c>
      <c r="L7" s="33">
        <v>23</v>
      </c>
      <c r="M7" s="33">
        <v>14</v>
      </c>
      <c r="N7" s="33">
        <v>10</v>
      </c>
      <c r="O7" s="31"/>
      <c r="P7" s="52">
        <f>SUM(C7:N7)</f>
        <v>212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-3</v>
      </c>
      <c r="F8" s="32">
        <f t="shared" si="0"/>
        <v>1</v>
      </c>
      <c r="G8" s="32">
        <f t="shared" si="0"/>
        <v>-2</v>
      </c>
      <c r="H8" s="32">
        <f t="shared" si="0"/>
        <v>0</v>
      </c>
      <c r="I8" s="32">
        <f t="shared" si="0"/>
        <v>-3</v>
      </c>
      <c r="J8" s="32">
        <f t="shared" si="0"/>
        <v>0</v>
      </c>
      <c r="K8" s="32">
        <f t="shared" si="0"/>
        <v>4</v>
      </c>
      <c r="L8" s="32">
        <f t="shared" si="0"/>
        <v>3</v>
      </c>
      <c r="M8" s="32">
        <f t="shared" si="0"/>
        <v>-3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17</v>
      </c>
      <c r="F11" s="10">
        <v>21</v>
      </c>
      <c r="G11" s="10">
        <v>18</v>
      </c>
      <c r="H11" s="10">
        <v>20</v>
      </c>
      <c r="I11" s="10">
        <v>17</v>
      </c>
      <c r="J11" s="10">
        <v>20</v>
      </c>
      <c r="K11" s="10">
        <v>9</v>
      </c>
      <c r="L11" s="10">
        <v>23</v>
      </c>
      <c r="M11" s="10">
        <v>14</v>
      </c>
      <c r="N11" s="10">
        <v>10</v>
      </c>
      <c r="P11" s="53">
        <f>SUM(C11:N11)</f>
        <v>212</v>
      </c>
    </row>
    <row r="12" spans="2:16" x14ac:dyDescent="0.3">
      <c r="B12" s="8" t="s">
        <v>15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/>
      <c r="M12" s="11">
        <v>0</v>
      </c>
      <c r="N12" s="11">
        <v>7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>
        <v>4</v>
      </c>
      <c r="F13" s="11"/>
      <c r="G13" s="11">
        <v>1</v>
      </c>
      <c r="H13" s="11"/>
      <c r="I13" s="11"/>
      <c r="J13" s="11">
        <v>1</v>
      </c>
      <c r="K13" s="11">
        <v>12</v>
      </c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10045</v>
      </c>
      <c r="D17" s="9">
        <f>D11*Params!$C$5*(1-Params!$C$3)-Params!$C$4</f>
        <v>9585</v>
      </c>
      <c r="E17" s="9">
        <f>E11*Params!$C$5*(1-Params!$C$3)-Params!$C$4</f>
        <v>7745</v>
      </c>
      <c r="F17" s="9">
        <f>F11*Params!$C$6*(1-Params!$C$3)-Params!$C$4</f>
        <v>9778.2000000000007</v>
      </c>
      <c r="G17" s="9">
        <f>G11*Params!$C$6*(1-Params!$C$3)-Params!$C$4</f>
        <v>8370.6</v>
      </c>
      <c r="H17" s="9">
        <f>H11*Params!$C$6*(1-Params!$C$3)-Params!$C$4</f>
        <v>9309</v>
      </c>
      <c r="I17" s="9">
        <f>I11*Params!$C$6*(1-Params!$C$3)-Params!$C$4</f>
        <v>7901.4000000000005</v>
      </c>
      <c r="J17" s="9">
        <f>J11*Params!$C$6*(1-Params!$C$3)-Params!$C$4</f>
        <v>9309</v>
      </c>
      <c r="K17" s="9">
        <f>K11*Params!$C$6*(1-Params!$C$3)-Params!$C$4</f>
        <v>4147.8</v>
      </c>
      <c r="L17" s="9">
        <f>L11*Params!$C$6*(1-Params!$C$3)-Params!$C$4</f>
        <v>10716.6</v>
      </c>
      <c r="M17" s="9">
        <f>M11*Params!$C$6*(1-Params!$C$3)-Params!$C$4</f>
        <v>6493.8</v>
      </c>
      <c r="N17" s="9">
        <f>N11*Params!$C$6*(1-Params!$C$3)-Params!$C$4</f>
        <v>4617</v>
      </c>
      <c r="O17" s="4"/>
      <c r="P17" s="37">
        <f>SUM(C17:N17)</f>
        <v>98018.400000000009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10045</v>
      </c>
      <c r="D19" s="25">
        <f t="shared" si="1"/>
        <v>9585</v>
      </c>
      <c r="E19" s="25">
        <f t="shared" si="1"/>
        <v>7745</v>
      </c>
      <c r="F19" s="25">
        <f t="shared" si="1"/>
        <v>9778.2000000000007</v>
      </c>
      <c r="G19" s="25">
        <f t="shared" si="1"/>
        <v>8370.6</v>
      </c>
      <c r="H19" s="25">
        <f t="shared" si="1"/>
        <v>9309</v>
      </c>
      <c r="I19" s="25">
        <f t="shared" si="1"/>
        <v>7901.4000000000005</v>
      </c>
      <c r="J19" s="25">
        <f t="shared" si="1"/>
        <v>9309</v>
      </c>
      <c r="K19" s="25">
        <f t="shared" si="1"/>
        <v>4147.8</v>
      </c>
      <c r="L19" s="25">
        <f t="shared" si="1"/>
        <v>10716.6</v>
      </c>
      <c r="M19" s="25">
        <f t="shared" si="1"/>
        <v>6493.8</v>
      </c>
      <c r="N19" s="25">
        <f t="shared" si="1"/>
        <v>4617</v>
      </c>
      <c r="O19" s="5"/>
      <c r="P19" s="38">
        <f>SUM(C19:N19)</f>
        <v>98018.400000000009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5761.7</v>
      </c>
      <c r="D22" s="9">
        <v>5761.7</v>
      </c>
      <c r="E22" s="9">
        <v>4818.97</v>
      </c>
      <c r="F22" s="9">
        <v>5761.7</v>
      </c>
      <c r="G22" s="9">
        <v>5525.33</v>
      </c>
      <c r="H22" s="9">
        <v>5761.7</v>
      </c>
      <c r="I22" s="9">
        <v>5517.81</v>
      </c>
      <c r="J22" s="9">
        <v>5525.33</v>
      </c>
      <c r="K22" s="9">
        <v>2571.3200000000002</v>
      </c>
      <c r="L22" s="9">
        <v>5793.04</v>
      </c>
      <c r="M22" s="9">
        <v>5417.76</v>
      </c>
      <c r="N22" s="9">
        <v>5534.9</v>
      </c>
      <c r="O22" s="4"/>
      <c r="P22" s="39">
        <f>SUM(C22:N22)</f>
        <v>63751.26</v>
      </c>
    </row>
    <row r="23" spans="2:16" x14ac:dyDescent="0.3">
      <c r="B23" s="8" t="s">
        <v>8</v>
      </c>
      <c r="C23" s="9">
        <f>1174.94+2239.55</f>
        <v>3414.4900000000002</v>
      </c>
      <c r="D23" s="9">
        <f>1174.94+2236.78</f>
        <v>3411.7200000000003</v>
      </c>
      <c r="E23" s="9">
        <f>972.19+1848.05</f>
        <v>2820.24</v>
      </c>
      <c r="F23" s="9">
        <f>1174.94+2236.78</f>
        <v>3411.7200000000003</v>
      </c>
      <c r="G23" s="9">
        <f>1124.94+2163</f>
        <v>3287.94</v>
      </c>
      <c r="H23" s="9">
        <f>1174.94+2260.97</f>
        <v>3435.91</v>
      </c>
      <c r="I23" s="9">
        <f>1120.43+2144.26</f>
        <v>3264.6900000000005</v>
      </c>
      <c r="J23" s="9">
        <f>1124.94+2165.57</f>
        <v>3290.51</v>
      </c>
      <c r="K23" s="9">
        <f>547.03+1020.04</f>
        <v>1567.07</v>
      </c>
      <c r="L23" s="9">
        <f>1169.32+2240.99</f>
        <v>3410.3099999999995</v>
      </c>
      <c r="M23" s="9">
        <f>1099.56+2084.78</f>
        <v>3184.34</v>
      </c>
      <c r="N23" s="9">
        <f>1134.33+2156.52</f>
        <v>3290.85</v>
      </c>
      <c r="O23" s="4"/>
      <c r="P23" s="39">
        <f>SUM(C23:N23)</f>
        <v>37789.79</v>
      </c>
    </row>
    <row r="24" spans="2:16" x14ac:dyDescent="0.3">
      <c r="B24" s="60" t="s">
        <v>39</v>
      </c>
      <c r="C24" s="61"/>
      <c r="D24" s="61"/>
      <c r="E24" s="61"/>
      <c r="F24" s="61">
        <v>358.32</v>
      </c>
      <c r="G24" s="61"/>
      <c r="H24" s="61"/>
      <c r="I24" s="61">
        <v>807.42</v>
      </c>
      <c r="J24" s="61"/>
      <c r="K24" s="61"/>
      <c r="L24" s="61"/>
      <c r="M24" s="61"/>
      <c r="N24" s="61"/>
      <c r="O24" s="4"/>
      <c r="P24" s="39">
        <f>SUM(C24:N24)</f>
        <v>1165.74</v>
      </c>
    </row>
    <row r="25" spans="2:16" x14ac:dyDescent="0.3">
      <c r="B25" s="7" t="s">
        <v>3</v>
      </c>
      <c r="C25" s="40">
        <f>SUM(C22:C23)</f>
        <v>9176.19</v>
      </c>
      <c r="D25" s="40">
        <f>SUM(D22:D23)</f>
        <v>9173.42</v>
      </c>
      <c r="E25" s="40">
        <f>SUM(E22:E23)</f>
        <v>7639.21</v>
      </c>
      <c r="F25" s="40">
        <f t="shared" ref="F25:N25" si="2">SUM(F22:F24)</f>
        <v>9531.74</v>
      </c>
      <c r="G25" s="40">
        <f t="shared" si="2"/>
        <v>8813.27</v>
      </c>
      <c r="H25" s="40">
        <f t="shared" si="2"/>
        <v>9197.61</v>
      </c>
      <c r="I25" s="40">
        <f t="shared" si="2"/>
        <v>9589.92</v>
      </c>
      <c r="J25" s="40">
        <f t="shared" si="2"/>
        <v>8815.84</v>
      </c>
      <c r="K25" s="40">
        <f t="shared" si="2"/>
        <v>4138.3900000000003</v>
      </c>
      <c r="L25" s="40">
        <f t="shared" si="2"/>
        <v>9203.3499999999985</v>
      </c>
      <c r="M25" s="40">
        <f t="shared" si="2"/>
        <v>8602.1</v>
      </c>
      <c r="N25" s="40">
        <f t="shared" si="2"/>
        <v>8825.75</v>
      </c>
      <c r="O25" s="4"/>
      <c r="P25" s="41">
        <f>SUM(C25:N25)</f>
        <v>102706.79000000001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868.80999999999949</v>
      </c>
      <c r="D27" s="44">
        <f t="shared" si="3"/>
        <v>411.57999999999993</v>
      </c>
      <c r="E27" s="44">
        <f t="shared" si="3"/>
        <v>105.78999999999996</v>
      </c>
      <c r="F27" s="44">
        <f t="shared" si="3"/>
        <v>246.46000000000095</v>
      </c>
      <c r="G27" s="44">
        <f t="shared" si="3"/>
        <v>-442.67000000000007</v>
      </c>
      <c r="H27" s="44">
        <f t="shared" si="3"/>
        <v>111.38999999999942</v>
      </c>
      <c r="I27" s="44">
        <f t="shared" si="3"/>
        <v>-1688.5199999999995</v>
      </c>
      <c r="J27" s="44">
        <f t="shared" si="3"/>
        <v>493.15999999999985</v>
      </c>
      <c r="K27" s="44">
        <f t="shared" si="3"/>
        <v>9.4099999999998545</v>
      </c>
      <c r="L27" s="44">
        <f t="shared" si="3"/>
        <v>1513.2500000000018</v>
      </c>
      <c r="M27" s="44">
        <f t="shared" si="3"/>
        <v>-2108.3000000000002</v>
      </c>
      <c r="N27" s="44">
        <f t="shared" si="3"/>
        <v>-4208.75</v>
      </c>
      <c r="P27" s="54">
        <f>SUM(C27:N27)</f>
        <v>-4688.3899999999985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8"/>
  <sheetViews>
    <sheetView topLeftCell="A16" workbookViewId="0">
      <selection activeCell="J12" sqref="J1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13</v>
      </c>
      <c r="K6" s="33"/>
      <c r="L6" s="33"/>
      <c r="M6" s="33"/>
      <c r="N6" s="33"/>
      <c r="O6" s="31"/>
      <c r="P6" s="52">
        <f>SUM(C6:N6)</f>
        <v>146</v>
      </c>
    </row>
    <row r="7" spans="2:16" x14ac:dyDescent="0.3">
      <c r="B7" s="8" t="s">
        <v>20</v>
      </c>
      <c r="C7" s="33">
        <v>22</v>
      </c>
      <c r="D7" s="33">
        <v>20</v>
      </c>
      <c r="E7" s="33">
        <v>18</v>
      </c>
      <c r="F7" s="33">
        <v>15</v>
      </c>
      <c r="G7" s="33">
        <v>16</v>
      </c>
      <c r="H7" s="33">
        <v>20</v>
      </c>
      <c r="I7" s="33">
        <v>22</v>
      </c>
      <c r="J7" s="33">
        <v>13</v>
      </c>
      <c r="K7" s="33"/>
      <c r="L7" s="33"/>
      <c r="M7" s="33"/>
      <c r="N7" s="33"/>
      <c r="O7" s="31"/>
      <c r="P7" s="52">
        <f>SUM(C7:N7)</f>
        <v>146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-1</v>
      </c>
      <c r="F8" s="32">
        <f t="shared" si="0"/>
        <v>-4</v>
      </c>
      <c r="G8" s="32">
        <f t="shared" si="0"/>
        <v>-3</v>
      </c>
      <c r="H8" s="32">
        <f t="shared" si="0"/>
        <v>1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18</v>
      </c>
      <c r="F11" s="10">
        <v>15</v>
      </c>
      <c r="G11" s="10">
        <v>16</v>
      </c>
      <c r="H11" s="10">
        <v>20</v>
      </c>
      <c r="I11" s="10">
        <v>22</v>
      </c>
      <c r="J11" s="10">
        <v>15</v>
      </c>
      <c r="K11" s="10"/>
      <c r="L11" s="10"/>
      <c r="M11" s="10"/>
      <c r="N11" s="10"/>
      <c r="P11" s="53">
        <f>SUM(C11:N11)</f>
        <v>148</v>
      </c>
    </row>
    <row r="12" spans="2:16" x14ac:dyDescent="0.3">
      <c r="B12" s="8" t="s">
        <v>15</v>
      </c>
      <c r="C12" s="11"/>
      <c r="D12" s="11"/>
      <c r="E12" s="11">
        <v>3</v>
      </c>
      <c r="F12" s="11">
        <v>6</v>
      </c>
      <c r="G12" s="11">
        <v>3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42</v>
      </c>
      <c r="C13" s="11"/>
      <c r="D13" s="11"/>
      <c r="E13" s="11"/>
      <c r="F13" s="11"/>
      <c r="G13" s="11"/>
      <c r="H13" s="11"/>
      <c r="I13" s="11"/>
      <c r="J13" s="11">
        <v>7</v>
      </c>
      <c r="K13" s="11"/>
      <c r="L13" s="11"/>
      <c r="M13" s="11"/>
      <c r="N13" s="11"/>
      <c r="P13" s="53"/>
    </row>
    <row r="14" spans="2:16" x14ac:dyDescent="0.3">
      <c r="B14" s="8" t="s">
        <v>16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P14" s="53">
        <f>SUM(C14:N14)</f>
        <v>0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10247.4</v>
      </c>
      <c r="D18" s="9">
        <f>D11*Params!$C$6*(1-Params!$C$3)-Params!$C$4</f>
        <v>9309</v>
      </c>
      <c r="E18" s="9">
        <f>E11*Params!$C$6*(1-Params!$C$3)-Params!$C$4</f>
        <v>8370.6</v>
      </c>
      <c r="F18" s="9">
        <f>F11*Params!$C$6*(1-Params!$C$3)-Params!$C$4</f>
        <v>6963</v>
      </c>
      <c r="G18" s="9">
        <f>G11*Params!$C$6*(1-Params!$C$3)-Params!$C$4</f>
        <v>7432.2000000000007</v>
      </c>
      <c r="H18" s="9">
        <f>H11*Params!$C$6*(1-Params!$C$3)-Params!$C$4</f>
        <v>9309</v>
      </c>
      <c r="I18" s="9">
        <f>I11*Params!$C$6*(1-Params!$C$3)-Params!$C$4</f>
        <v>10247.4</v>
      </c>
      <c r="J18" s="9">
        <f>J11*Params!$C$6*(1-Params!$C$3)-Params!$C$4</f>
        <v>6963</v>
      </c>
      <c r="K18" s="9"/>
      <c r="L18" s="9"/>
      <c r="M18" s="9"/>
      <c r="N18" s="9"/>
      <c r="O18" s="4"/>
      <c r="P18" s="37">
        <f>SUM(C18:N18)</f>
        <v>68841.600000000006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10247.4</v>
      </c>
      <c r="D20" s="25">
        <f t="shared" si="1"/>
        <v>9309</v>
      </c>
      <c r="E20" s="25">
        <f t="shared" si="1"/>
        <v>8370.6</v>
      </c>
      <c r="F20" s="25">
        <f t="shared" si="1"/>
        <v>6963</v>
      </c>
      <c r="G20" s="25">
        <f t="shared" si="1"/>
        <v>7432.2000000000007</v>
      </c>
      <c r="H20" s="25">
        <f t="shared" si="1"/>
        <v>9309</v>
      </c>
      <c r="I20" s="25">
        <f t="shared" si="1"/>
        <v>10247.4</v>
      </c>
      <c r="J20" s="25">
        <f t="shared" si="1"/>
        <v>6963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68841.600000000006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5463.62</v>
      </c>
      <c r="D23" s="9">
        <v>5463.62</v>
      </c>
      <c r="E23" s="9">
        <v>5463.62</v>
      </c>
      <c r="F23" s="9">
        <v>5372.43</v>
      </c>
      <c r="G23" s="9">
        <v>5372.43</v>
      </c>
      <c r="H23" s="9">
        <v>5620.28</v>
      </c>
      <c r="I23" s="9">
        <v>5372.43</v>
      </c>
      <c r="J23" s="9">
        <v>3410.42</v>
      </c>
      <c r="K23" s="9"/>
      <c r="L23" s="9"/>
      <c r="M23" s="9"/>
      <c r="N23" s="9"/>
      <c r="O23" s="4"/>
      <c r="P23" s="39">
        <f>SUM(C23:N23)</f>
        <v>41538.85</v>
      </c>
    </row>
    <row r="24" spans="2:16" x14ac:dyDescent="0.3">
      <c r="B24" s="8" t="s">
        <v>8</v>
      </c>
      <c r="C24" s="9">
        <f>1142.72+2142.6</f>
        <v>3285.3199999999997</v>
      </c>
      <c r="D24" s="9">
        <f>1142.72+2137.47</f>
        <v>3280.1899999999996</v>
      </c>
      <c r="E24" s="9">
        <f>1142.72+2137.47</f>
        <v>3280.1899999999996</v>
      </c>
      <c r="F24" s="9">
        <f>1183.99+2278.29</f>
        <v>3462.2799999999997</v>
      </c>
      <c r="G24" s="9">
        <f>1183.99+2282.76</f>
        <v>3466.75</v>
      </c>
      <c r="H24" s="9">
        <f>1239.54+2383.39</f>
        <v>3622.93</v>
      </c>
      <c r="I24" s="9">
        <f>1183.99+2274.45</f>
        <v>3458.4399999999996</v>
      </c>
      <c r="J24" s="9">
        <f>771.63+1459.71</f>
        <v>2231.34</v>
      </c>
      <c r="K24" s="9"/>
      <c r="L24" s="9"/>
      <c r="M24" s="9"/>
      <c r="N24" s="9"/>
      <c r="O24" s="4"/>
      <c r="P24" s="39">
        <f>SUM(C24:N24)</f>
        <v>26087.439999999999</v>
      </c>
    </row>
    <row r="25" spans="2:16" x14ac:dyDescent="0.3">
      <c r="B25" s="60" t="s">
        <v>39</v>
      </c>
      <c r="C25" s="61">
        <v>28.34</v>
      </c>
      <c r="D25" s="61"/>
      <c r="E25" s="61"/>
      <c r="F25" s="61"/>
      <c r="G25" s="61"/>
      <c r="H25" s="61"/>
      <c r="I25" s="61">
        <v>87.49</v>
      </c>
      <c r="J25" s="61"/>
      <c r="K25" s="61"/>
      <c r="L25" s="61"/>
      <c r="M25" s="61"/>
      <c r="N25" s="61"/>
      <c r="O25" s="4"/>
      <c r="P25" s="39">
        <f>SUM(C25:N25)</f>
        <v>115.83</v>
      </c>
    </row>
    <row r="26" spans="2:16" x14ac:dyDescent="0.3">
      <c r="B26" s="7" t="s">
        <v>3</v>
      </c>
      <c r="C26" s="40">
        <f>SUM(C23:C25)</f>
        <v>8777.2799999999988</v>
      </c>
      <c r="D26" s="40">
        <f>SUM(D23:D24)</f>
        <v>8743.81</v>
      </c>
      <c r="E26" s="40">
        <f>SUM(E23:E24)</f>
        <v>8743.81</v>
      </c>
      <c r="F26" s="40">
        <f t="shared" ref="F26:N26" si="2">SUM(F23:F25)</f>
        <v>8834.7099999999991</v>
      </c>
      <c r="G26" s="40">
        <f t="shared" si="2"/>
        <v>8839.18</v>
      </c>
      <c r="H26" s="40">
        <f t="shared" si="2"/>
        <v>9243.2099999999991</v>
      </c>
      <c r="I26" s="40">
        <f t="shared" si="2"/>
        <v>8918.3599999999988</v>
      </c>
      <c r="J26" s="40">
        <f t="shared" si="2"/>
        <v>5641.76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67742.12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1470.1200000000008</v>
      </c>
      <c r="D28" s="44">
        <f t="shared" si="3"/>
        <v>565.19000000000051</v>
      </c>
      <c r="E28" s="44">
        <f t="shared" si="3"/>
        <v>-373.20999999999913</v>
      </c>
      <c r="F28" s="44">
        <f t="shared" si="3"/>
        <v>-1871.7099999999991</v>
      </c>
      <c r="G28" s="44">
        <f t="shared" si="3"/>
        <v>-1406.9799999999996</v>
      </c>
      <c r="H28" s="44">
        <f t="shared" si="3"/>
        <v>65.790000000000873</v>
      </c>
      <c r="I28" s="44">
        <f t="shared" si="3"/>
        <v>1329.0400000000009</v>
      </c>
      <c r="J28" s="44">
        <f t="shared" si="3"/>
        <v>1321.2399999999998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SUM(C28:N28)</f>
        <v>1099.480000000005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22</v>
      </c>
      <c r="C2" s="66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  <row r="6" spans="2:3" x14ac:dyDescent="0.3">
      <c r="B6" s="62" t="s">
        <v>40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23</v>
      </c>
      <c r="C2" s="67"/>
    </row>
    <row r="3" spans="2:3" ht="16.95" customHeight="1" x14ac:dyDescent="0.3">
      <c r="B3" s="34" t="s">
        <v>24</v>
      </c>
      <c r="C3" s="35">
        <f>'2023'!P26+'2024'!P27+'2025'!P28</f>
        <v>-6082.7299999999959</v>
      </c>
    </row>
    <row r="4" spans="2:3" ht="16.95" customHeight="1" x14ac:dyDescent="0.3">
      <c r="B4" s="34" t="s">
        <v>26</v>
      </c>
      <c r="C4" s="36">
        <f>'2023'!P12+'2024'!P12+'2025'!P12</f>
        <v>41</v>
      </c>
    </row>
    <row r="5" spans="2:3" x14ac:dyDescent="0.3">
      <c r="B5" t="s">
        <v>41</v>
      </c>
      <c r="C5">
        <f>(24*1)+(2.08*7)-C4</f>
        <v>-2.4399999999999977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2025-09-10T12:19:50Z</dcterms:modified>
</cp:coreProperties>
</file>