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7011FB13-4148-49F3-B28C-C9E79AA8C149}" xr6:coauthVersionLast="47" xr6:coauthVersionMax="47" xr10:uidLastSave="{00000000-0000-0000-0000-000000000000}"/>
  <bookViews>
    <workbookView xWindow="5760" yWindow="1644" windowWidth="17280" windowHeight="10728" activeTab="2" xr2:uid="{00000000-000D-0000-FFFF-FFFF00000000}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2">'2025'!$B$33</definedName>
    <definedName name="FRAIS_KM">'2024'!$B$33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2">'2025'!$B$32</definedName>
    <definedName name="NOMBRE_KM">'2024'!$B$32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'2024'!$B$30</definedName>
    <definedName name="SOLDE" localSheetId="2">'2025'!$B$30</definedName>
    <definedName name="SORTIES" localSheetId="0">'2023'!$B$22</definedName>
    <definedName name="SORTIES" localSheetId="1">'2024'!$B$23</definedName>
    <definedName name="SORTIES" localSheetId="2">'2025'!$B$23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 localSheetId="2">'2025'!$B$25</definedName>
    <definedName name="SORTIES_CHARGES_SOCIALES_PATRONALES">#REF!</definedName>
    <definedName name="SORTIES_FRAIS_KM" localSheetId="2">'2025'!$B$26</definedName>
    <definedName name="SORTIES_FRAIS_KM">'2024'!$B$26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 localSheetId="2">'2025'!$B$24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'2024'!$B$21</definedName>
    <definedName name="TOTAL_ENTREES" localSheetId="2">'2025'!$B$21</definedName>
    <definedName name="TOTAL_ENTREES">#REF!</definedName>
    <definedName name="TOTAL_SORTIES" localSheetId="0">'2023'!$B$26</definedName>
    <definedName name="TOTAL_SORTIES" localSheetId="1">'2024'!$B$28</definedName>
    <definedName name="TOTAL_SORTIES" localSheetId="2">'2025'!$B$28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30" i="17" l="1"/>
  <c r="J18" i="17"/>
  <c r="I18" i="17"/>
  <c r="J25" i="17"/>
  <c r="I25" i="17" l="1"/>
  <c r="H25" i="17" l="1"/>
  <c r="H18" i="17" l="1"/>
  <c r="G25" i="17" l="1"/>
  <c r="D18" i="17"/>
  <c r="E18" i="17"/>
  <c r="F18" i="17"/>
  <c r="G18" i="17"/>
  <c r="C18" i="17"/>
  <c r="F25" i="17" l="1"/>
  <c r="P33" i="17" l="1"/>
  <c r="P32" i="17"/>
  <c r="P35" i="17" s="1"/>
  <c r="N28" i="17"/>
  <c r="M28" i="17"/>
  <c r="L28" i="17"/>
  <c r="K28" i="17"/>
  <c r="J28" i="17"/>
  <c r="I28" i="17"/>
  <c r="H28" i="17"/>
  <c r="G28" i="17"/>
  <c r="F28" i="17"/>
  <c r="P27" i="17"/>
  <c r="P26" i="17"/>
  <c r="E25" i="17"/>
  <c r="E28" i="17" s="1"/>
  <c r="D25" i="17"/>
  <c r="D28" i="17" s="1"/>
  <c r="C25" i="17"/>
  <c r="C28" i="17" s="1"/>
  <c r="P24" i="17"/>
  <c r="N21" i="17"/>
  <c r="M21" i="17"/>
  <c r="M30" i="17" s="1"/>
  <c r="L21" i="17"/>
  <c r="K21" i="17"/>
  <c r="J21" i="17"/>
  <c r="I21" i="17"/>
  <c r="H21" i="17"/>
  <c r="G21" i="17"/>
  <c r="F21" i="17"/>
  <c r="C21" i="17"/>
  <c r="P20" i="17"/>
  <c r="P19" i="17"/>
  <c r="E21" i="17"/>
  <c r="P18" i="17"/>
  <c r="P15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P33" i="16"/>
  <c r="P32" i="16"/>
  <c r="P35" i="16" s="1"/>
  <c r="P27" i="16"/>
  <c r="P26" i="16"/>
  <c r="N25" i="16"/>
  <c r="N28" i="16" s="1"/>
  <c r="M25" i="16"/>
  <c r="M28" i="16" s="1"/>
  <c r="L25" i="16"/>
  <c r="L28" i="16" s="1"/>
  <c r="K25" i="16"/>
  <c r="K28" i="16" s="1"/>
  <c r="J25" i="16"/>
  <c r="J28" i="16" s="1"/>
  <c r="I25" i="16"/>
  <c r="I28" i="16" s="1"/>
  <c r="H25" i="16"/>
  <c r="H28" i="16" s="1"/>
  <c r="G25" i="16"/>
  <c r="G28" i="16" s="1"/>
  <c r="F25" i="16"/>
  <c r="F28" i="16" s="1"/>
  <c r="E25" i="16"/>
  <c r="E28" i="16" s="1"/>
  <c r="D25" i="16"/>
  <c r="D28" i="16" s="1"/>
  <c r="C25" i="16"/>
  <c r="C28" i="16" s="1"/>
  <c r="P24" i="16"/>
  <c r="P20" i="16"/>
  <c r="P19" i="16"/>
  <c r="N18" i="16"/>
  <c r="N21" i="16" s="1"/>
  <c r="M18" i="16"/>
  <c r="M21" i="16" s="1"/>
  <c r="L18" i="16"/>
  <c r="L21" i="16" s="1"/>
  <c r="K18" i="16"/>
  <c r="K21" i="16" s="1"/>
  <c r="J18" i="16"/>
  <c r="J21" i="16" s="1"/>
  <c r="I18" i="16"/>
  <c r="I21" i="16" s="1"/>
  <c r="H18" i="16"/>
  <c r="H21" i="16" s="1"/>
  <c r="G18" i="16"/>
  <c r="G21" i="16" s="1"/>
  <c r="F18" i="16"/>
  <c r="F21" i="16" s="1"/>
  <c r="E18" i="16"/>
  <c r="E21" i="16" s="1"/>
  <c r="D18" i="16"/>
  <c r="D21" i="16" s="1"/>
  <c r="C18" i="16"/>
  <c r="C21" i="16" s="1"/>
  <c r="P15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E25" i="15"/>
  <c r="N24" i="15"/>
  <c r="N26" i="15" s="1"/>
  <c r="M24" i="15"/>
  <c r="M26" i="15" s="1"/>
  <c r="L24" i="15"/>
  <c r="L26" i="15" s="1"/>
  <c r="K24" i="15"/>
  <c r="K26" i="15" s="1"/>
  <c r="J24" i="15"/>
  <c r="J26" i="15" s="1"/>
  <c r="I24" i="15"/>
  <c r="I26" i="15" s="1"/>
  <c r="H24" i="15"/>
  <c r="H26" i="15" s="1"/>
  <c r="G24" i="15"/>
  <c r="G26" i="15" s="1"/>
  <c r="F24" i="15"/>
  <c r="F26" i="15" s="1"/>
  <c r="E24" i="15"/>
  <c r="D24" i="15"/>
  <c r="D26" i="15" s="1"/>
  <c r="C24" i="15"/>
  <c r="C26" i="15" s="1"/>
  <c r="P23" i="15"/>
  <c r="E19" i="15"/>
  <c r="P19" i="15" s="1"/>
  <c r="P18" i="15"/>
  <c r="N17" i="15"/>
  <c r="N20" i="15" s="1"/>
  <c r="N28" i="15" s="1"/>
  <c r="M17" i="15"/>
  <c r="M20" i="15" s="1"/>
  <c r="L17" i="15"/>
  <c r="L20" i="15" s="1"/>
  <c r="K17" i="15"/>
  <c r="K20" i="15" s="1"/>
  <c r="J17" i="15"/>
  <c r="J20" i="15" s="1"/>
  <c r="I17" i="15"/>
  <c r="I20" i="15" s="1"/>
  <c r="H17" i="15"/>
  <c r="H20" i="15" s="1"/>
  <c r="G17" i="15"/>
  <c r="G20" i="15" s="1"/>
  <c r="F17" i="15"/>
  <c r="F20" i="15" s="1"/>
  <c r="E17" i="15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H30" i="17" l="1"/>
  <c r="M30" i="16"/>
  <c r="G28" i="15"/>
  <c r="F28" i="15"/>
  <c r="H30" i="16"/>
  <c r="K30" i="16"/>
  <c r="I30" i="17"/>
  <c r="L30" i="17"/>
  <c r="H28" i="15"/>
  <c r="P36" i="16"/>
  <c r="I30" i="16"/>
  <c r="J28" i="15"/>
  <c r="G30" i="17"/>
  <c r="D21" i="17"/>
  <c r="P21" i="17" s="1"/>
  <c r="J30" i="16"/>
  <c r="K30" i="17"/>
  <c r="I28" i="15"/>
  <c r="D30" i="16"/>
  <c r="L30" i="16"/>
  <c r="K28" i="15"/>
  <c r="P24" i="15"/>
  <c r="P8" i="16"/>
  <c r="D28" i="15"/>
  <c r="N30" i="17"/>
  <c r="L28" i="15"/>
  <c r="E20" i="15"/>
  <c r="P20" i="15" s="1"/>
  <c r="M28" i="15"/>
  <c r="E30" i="17"/>
  <c r="C4" i="13"/>
  <c r="C5" i="13" s="1"/>
  <c r="P8" i="15"/>
  <c r="P17" i="15"/>
  <c r="E26" i="15"/>
  <c r="P26" i="15" s="1"/>
  <c r="P36" i="17"/>
  <c r="P8" i="17"/>
  <c r="P28" i="17"/>
  <c r="F30" i="17"/>
  <c r="F30" i="16"/>
  <c r="P21" i="16"/>
  <c r="C30" i="16"/>
  <c r="G30" i="16"/>
  <c r="N30" i="16"/>
  <c r="P28" i="16"/>
  <c r="C28" i="15"/>
  <c r="E30" i="16"/>
  <c r="P25" i="15"/>
  <c r="P25" i="17"/>
  <c r="P25" i="16"/>
  <c r="P18" i="16"/>
  <c r="C30" i="17"/>
  <c r="D30" i="17" l="1"/>
  <c r="P30" i="17" s="1"/>
  <c r="E28" i="15"/>
  <c r="P28" i="15" s="1"/>
  <c r="P30" i="16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<sst xmlns="http://schemas.openxmlformats.org/spreadsheetml/2006/main" count="128" uniqueCount="51">
  <si>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</si>
  <si>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</si>
  <si>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</si>
  <si>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</si>
  <si>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</si>
  <si>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</si>
  <si>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</si>
  <si>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</si>
  <si>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</si>
  <si>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</si>
  <si>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</si>
  <si>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</si>
  <si>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</si>
  <si>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</si>
  <si>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</si>
  <si>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</si>
  <si>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</si>
  <si>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</si>
  <si>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</si>
  <si>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</si>
  <si>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</si>
  <si>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</si>
  <si>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</si>
  <si>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</si>
  <si>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</si>
  <si>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</si>
  <si>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</si>
  <si>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</si>
  <si>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</si>
  <si>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</si>
  <si>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</si>
  <si>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</si>
  <si>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</si>
  <si>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</si>
  <si>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</si>
  <si>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</si>
  <si>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</si>
  <si>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</si>
  <si>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</si>
  <si>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</si>
  <si>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</si>
  <si>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</si>
  <si>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</si>
  <si>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</si>
  <si>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</si>
  <si>
    <t>Frais Refacturés</t>
  </si>
  <si>
    <t>Frais KM annuel à payer</t>
  </si>
  <si>
    <t>Régularisation Frais KM</t>
  </si>
  <si>
    <t>Solde Congé</t>
  </si>
  <si>
    <t>TJM (Janvier 2025)</t>
  </si>
  <si>
    <t>TJM (Juillet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</si>
</sst>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opLeftCell="B2" workbookViewId="0">
      <selection activeCell="M20" sqref="M2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>
        <v>20</v>
      </c>
      <c r="L6" s="33">
        <v>20</v>
      </c>
      <c r="M6" s="33">
        <v>20</v>
      </c>
      <c r="N6" s="33">
        <v>17</v>
      </c>
      <c r="O6" s="31"/>
      <c r="P6" s="52">
        <f>SUM(C6:N6)</f>
        <v>221</v>
      </c>
    </row>
    <row r="7" spans="2:16" x14ac:dyDescent="0.3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>
        <v>21</v>
      </c>
      <c r="L7" s="33">
        <v>22</v>
      </c>
      <c r="M7" s="33">
        <v>21</v>
      </c>
      <c r="N7" s="33">
        <v>16</v>
      </c>
      <c r="O7" s="31"/>
      <c r="P7" s="52">
        <f>SUM(C7:N7)</f>
        <v>221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1</v>
      </c>
      <c r="L8" s="32">
        <f t="shared" si="0"/>
        <v>2</v>
      </c>
      <c r="M8" s="32">
        <f t="shared" si="0"/>
        <v>1</v>
      </c>
      <c r="N8" s="32">
        <f t="shared" si="0"/>
        <v>-1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>
        <v>21</v>
      </c>
      <c r="L11" s="10">
        <v>22</v>
      </c>
      <c r="M11" s="10">
        <v>21</v>
      </c>
      <c r="N11" s="10">
        <v>16</v>
      </c>
      <c r="P11" s="53">
        <f>SUM(C11:N11)</f>
        <v>221</v>
      </c>
    </row>
    <row r="12" spans="2:16" x14ac:dyDescent="0.3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>
        <v>4</v>
      </c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>
        <v>1</v>
      </c>
      <c r="N14" s="20"/>
      <c r="P14" s="53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>
        <f>K11*Params!$C$5*(1-Params!$C$3)-Params!$C$4</f>
        <v>8619</v>
      </c>
      <c r="L17" s="9">
        <f>L11*Params!$C$5*(1-Params!$C$3)-Params!$C$4</f>
        <v>9033</v>
      </c>
      <c r="M17" s="9">
        <f>M11*Params!$C$5*(1-Params!$C$3)-Params!$C$4</f>
        <v>8619</v>
      </c>
      <c r="N17" s="9">
        <f>N11*Params!$C$5*(1-Params!$C$3)-Params!$C$4</f>
        <v>6549</v>
      </c>
      <c r="O17" s="4"/>
      <c r="P17" s="37">
        <f>SUM(C17:N17)</f>
        <v>90594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450</v>
      </c>
      <c r="M18" s="9">
        <v>900</v>
      </c>
      <c r="N18" s="9"/>
      <c r="O18" s="4"/>
      <c r="P18" s="37">
        <f>SUM(C18:N18)</f>
        <v>1350</v>
      </c>
    </row>
    <row r="19" spans="2:16" x14ac:dyDescent="0.3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>
        <v>45.57</v>
      </c>
      <c r="M19" s="61"/>
      <c r="N19" s="61"/>
      <c r="O19" s="4"/>
      <c r="P19" s="37">
        <f>SUM(C19:N19)</f>
        <v>150.16999999999999</v>
      </c>
    </row>
    <row r="20" spans="2:16" x14ac:dyDescent="0.3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8619</v>
      </c>
      <c r="L20" s="25">
        <f t="shared" si="1"/>
        <v>9528.57</v>
      </c>
      <c r="M20" s="25">
        <f t="shared" si="1"/>
        <v>9519</v>
      </c>
      <c r="N20" s="25">
        <f t="shared" si="1"/>
        <v>6549</v>
      </c>
      <c r="O20" s="5"/>
      <c r="P20" s="38">
        <f>SUM(C20:N20)</f>
        <v>92094.170000000013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>
        <v>5293.96</v>
      </c>
      <c r="L23" s="9">
        <v>5293.96</v>
      </c>
      <c r="M23" s="9">
        <v>5293.96</v>
      </c>
      <c r="N23" s="9">
        <v>5262.11</v>
      </c>
      <c r="O23" s="4"/>
      <c r="P23" s="39">
        <f>SUM(C23:N23)</f>
        <v>59455.159999999996</v>
      </c>
    </row>
    <row r="24" spans="2:16" x14ac:dyDescent="0.3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>
        <f>1076.82+1824.39</f>
        <v>2901.21</v>
      </c>
      <c r="L24" s="9">
        <f>1076.82+1824.39</f>
        <v>2901.21</v>
      </c>
      <c r="M24" s="9">
        <f>1076.82+1824.39</f>
        <v>2901.21</v>
      </c>
      <c r="N24" s="9">
        <f>1073.03+1814</f>
        <v>2887.0299999999997</v>
      </c>
      <c r="O24" s="4"/>
      <c r="P24" s="39">
        <f>SUM(C24:N24)</f>
        <v>32647.079999999994</v>
      </c>
    </row>
    <row r="25" spans="2:16" x14ac:dyDescent="0.3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>
        <v>45.57</v>
      </c>
      <c r="M25" s="61"/>
      <c r="N25" s="61"/>
      <c r="O25" s="4"/>
      <c r="P25" s="39">
        <f>SUM(C25:N25)</f>
        <v>150.16999999999999</v>
      </c>
    </row>
    <row r="26" spans="2:16" x14ac:dyDescent="0.3">
      <c r="B26" s="7" t="s">
        <v>3</v>
      </c>
      <c r="C26" s="40">
        <f>SUM(C23:C24)</f>
        <v>8193.86</v>
      </c>
      <c r="D26" s="40">
        <f>SUM(D23:D24)</f>
        <v>8193.86</v>
      </c>
      <c r="E26" s="40">
        <f>SUM(E23:E25)</f>
        <v>8298.4600000000009</v>
      </c>
      <c r="F26" s="40">
        <f t="shared" ref="F26:N26" si="2">SUM(F23:F25)</f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2002.69</v>
      </c>
      <c r="K26" s="40">
        <f t="shared" si="2"/>
        <v>8195.17</v>
      </c>
      <c r="L26" s="40">
        <f t="shared" si="2"/>
        <v>8240.74</v>
      </c>
      <c r="M26" s="40">
        <f t="shared" si="2"/>
        <v>8195.17</v>
      </c>
      <c r="N26" s="40">
        <f t="shared" si="2"/>
        <v>8149.1399999999994</v>
      </c>
      <c r="O26" s="4"/>
      <c r="P26" s="41">
        <f>SUM(C26:N26)</f>
        <v>92252.41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1253.1399999999994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-421.69000000000005</v>
      </c>
      <c r="K28" s="44">
        <f t="shared" si="3"/>
        <v>423.82999999999993</v>
      </c>
      <c r="L28" s="44">
        <f t="shared" si="3"/>
        <v>1287.83</v>
      </c>
      <c r="M28" s="44">
        <f t="shared" si="3"/>
        <v>1323.83</v>
      </c>
      <c r="N28" s="44">
        <f t="shared" si="3"/>
        <v>-1600.1399999999994</v>
      </c>
      <c r="P28" s="54">
        <f>SUM(C28:N28)</f>
        <v>-158.24000000000115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6"/>
  <sheetViews>
    <sheetView workbookViewId="0">
      <selection activeCell="J6" sqref="J6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0" style="45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0</v>
      </c>
      <c r="K6" s="33">
        <v>19</v>
      </c>
      <c r="L6" s="33">
        <v>19</v>
      </c>
      <c r="M6" s="33">
        <v>20</v>
      </c>
      <c r="N6" s="33">
        <v>20</v>
      </c>
      <c r="O6" s="31"/>
      <c r="P6" s="52">
        <f>SUM(C6:N6)</f>
        <v>218</v>
      </c>
    </row>
    <row r="7" spans="2:16" x14ac:dyDescent="0.3">
      <c r="B7" s="8" t="s">
        <v>20</v>
      </c>
      <c r="C7" s="33">
        <v>22</v>
      </c>
      <c r="D7" s="33">
        <v>18</v>
      </c>
      <c r="E7" s="33">
        <v>21</v>
      </c>
      <c r="F7" s="33">
        <v>21</v>
      </c>
      <c r="G7" s="33">
        <v>16</v>
      </c>
      <c r="H7" s="33">
        <v>20</v>
      </c>
      <c r="I7" s="33">
        <v>23</v>
      </c>
      <c r="J7" s="33">
        <v>0</v>
      </c>
      <c r="K7" s="33">
        <v>21</v>
      </c>
      <c r="L7" s="33">
        <v>23</v>
      </c>
      <c r="M7" s="33">
        <v>19</v>
      </c>
      <c r="N7" s="33">
        <v>20</v>
      </c>
      <c r="O7" s="31"/>
      <c r="P7" s="52">
        <f>SUM(C7:N7)</f>
        <v>224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-2</v>
      </c>
      <c r="E8" s="32">
        <f t="shared" si="0"/>
        <v>1</v>
      </c>
      <c r="F8" s="32">
        <f t="shared" si="0"/>
        <v>1</v>
      </c>
      <c r="G8" s="32">
        <f t="shared" si="0"/>
        <v>-4</v>
      </c>
      <c r="H8" s="32">
        <f t="shared" si="0"/>
        <v>0</v>
      </c>
      <c r="I8" s="32">
        <f t="shared" si="0"/>
        <v>3</v>
      </c>
      <c r="J8" s="32">
        <f t="shared" si="0"/>
        <v>0</v>
      </c>
      <c r="K8" s="32">
        <f t="shared" si="0"/>
        <v>2</v>
      </c>
      <c r="L8" s="32">
        <f t="shared" si="0"/>
        <v>4</v>
      </c>
      <c r="M8" s="32">
        <f t="shared" si="0"/>
        <v>-1</v>
      </c>
      <c r="N8" s="32">
        <f t="shared" si="0"/>
        <v>0</v>
      </c>
      <c r="O8" s="31"/>
      <c r="P8" s="52">
        <f>SUM(C8:N8)</f>
        <v>6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18</v>
      </c>
      <c r="E11" s="10">
        <v>21</v>
      </c>
      <c r="F11" s="10">
        <v>21</v>
      </c>
      <c r="G11" s="10">
        <v>16</v>
      </c>
      <c r="H11" s="10">
        <v>20</v>
      </c>
      <c r="I11" s="10">
        <v>23</v>
      </c>
      <c r="J11" s="10">
        <v>0</v>
      </c>
      <c r="K11" s="10">
        <v>21</v>
      </c>
      <c r="L11" s="10">
        <v>23</v>
      </c>
      <c r="M11" s="10">
        <v>19</v>
      </c>
      <c r="N11" s="10">
        <v>20</v>
      </c>
      <c r="P11" s="53">
        <f>SUM(C11:N11)</f>
        <v>224</v>
      </c>
    </row>
    <row r="12" spans="2:16" x14ac:dyDescent="0.3">
      <c r="B12" s="8" t="s">
        <v>15</v>
      </c>
      <c r="C12" s="11"/>
      <c r="D12" s="11">
        <v>1</v>
      </c>
      <c r="E12" s="11"/>
      <c r="F12" s="11"/>
      <c r="G12" s="11"/>
      <c r="H12" s="11"/>
      <c r="I12" s="11"/>
      <c r="J12" s="11">
        <v>11</v>
      </c>
      <c r="K12" s="11"/>
      <c r="L12" s="11"/>
      <c r="M12" s="11"/>
      <c r="N12" s="11">
        <v>0</v>
      </c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>
        <v>3</v>
      </c>
      <c r="H13" s="11"/>
      <c r="I13" s="11"/>
      <c r="J13" s="11">
        <v>10</v>
      </c>
      <c r="K13" s="11"/>
      <c r="L13" s="11"/>
      <c r="M13" s="11"/>
      <c r="N13" s="11">
        <v>1</v>
      </c>
      <c r="P13" s="53">
        <f>SUM(C13:N13)</f>
        <v>14</v>
      </c>
    </row>
    <row r="14" spans="2:16" x14ac:dyDescent="0.3">
      <c r="B14" s="65" t="s">
        <v>43</v>
      </c>
      <c r="C14" s="66"/>
      <c r="D14" s="66">
        <v>2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3"/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>
        <v>1</v>
      </c>
      <c r="M15" s="20"/>
      <c r="N15" s="20"/>
      <c r="P15" s="53">
        <f>SUM(C15:N15)</f>
        <v>1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C11*Params!$C$6*(1-Params!$C$3)-Params!$C$4</f>
        <v>10045</v>
      </c>
      <c r="D18" s="9">
        <f>D11*Params!$C$6*(1-Params!$C$3)-Params!$C$4</f>
        <v>8205</v>
      </c>
      <c r="E18" s="9">
        <f>E11*Params!$C$6*(1-Params!$C$3)-Params!$C$4</f>
        <v>9585</v>
      </c>
      <c r="F18" s="9">
        <f>F11*Params!$C$6*(1-Params!$C$3)-Params!$C$4</f>
        <v>9585</v>
      </c>
      <c r="G18" s="9">
        <f>G11*Params!$C$6*(1-Params!$C$3)-Params!$C$4</f>
        <v>7285</v>
      </c>
      <c r="H18" s="9">
        <f>H11*Params!$C$6*(1-Params!$C$3)-Params!$C$4</f>
        <v>9125</v>
      </c>
      <c r="I18" s="9">
        <f>I11*Params!$C$6*(1-Params!$C$3)-Params!$C$4</f>
        <v>10505</v>
      </c>
      <c r="J18" s="9">
        <f>J11*Params!$C$6*(1-Params!$C$3)-Params!$C$4</f>
        <v>-75</v>
      </c>
      <c r="K18" s="9">
        <f>K11*Params!$C$6*(1-Params!$C$3)-Params!$C$4</f>
        <v>9585</v>
      </c>
      <c r="L18" s="9">
        <f>L11*Params!$C$6*(1-Params!$C$3)-Params!$C$4</f>
        <v>10505</v>
      </c>
      <c r="M18" s="9">
        <f>M11*Params!$C$6*(1-Params!$C$3)-Params!$C$4</f>
        <v>8665</v>
      </c>
      <c r="N18" s="9">
        <f>N11*Params!$C$6*(1-Params!$C$3)-Params!$C$4</f>
        <v>9125</v>
      </c>
      <c r="O18" s="4"/>
      <c r="P18" s="37">
        <f>SUM(C18:N18)</f>
        <v>102140</v>
      </c>
    </row>
    <row r="19" spans="2:16" x14ac:dyDescent="0.3">
      <c r="B19" s="8" t="s">
        <v>14</v>
      </c>
      <c r="C19" s="9"/>
      <c r="D19" s="9"/>
      <c r="E19" s="9"/>
      <c r="F19" s="9"/>
      <c r="G19" s="9">
        <v>3000</v>
      </c>
      <c r="H19" s="9"/>
      <c r="I19" s="9"/>
      <c r="J19" s="9"/>
      <c r="K19" s="9"/>
      <c r="L19" s="9">
        <v>1000</v>
      </c>
      <c r="M19" s="9"/>
      <c r="N19" s="9"/>
      <c r="O19" s="4"/>
      <c r="P19" s="37">
        <f>SUM(C19:N19)</f>
        <v>4000</v>
      </c>
    </row>
    <row r="20" spans="2:16" x14ac:dyDescent="0.3">
      <c r="B20" s="60" t="s">
        <v>39</v>
      </c>
      <c r="C20" s="61"/>
      <c r="D20" s="61"/>
      <c r="E20" s="61">
        <v>232.64</v>
      </c>
      <c r="F20" s="61"/>
      <c r="G20" s="61"/>
      <c r="H20" s="61"/>
      <c r="I20" s="61"/>
      <c r="J20" s="61"/>
      <c r="K20" s="61"/>
      <c r="L20" s="61"/>
      <c r="M20" s="61"/>
      <c r="N20" s="61">
        <v>29.9</v>
      </c>
      <c r="O20" s="4"/>
      <c r="P20" s="37">
        <f>SUM(C20:N20)</f>
        <v>262.53999999999996</v>
      </c>
    </row>
    <row r="21" spans="2:16" x14ac:dyDescent="0.3">
      <c r="B21" s="24" t="s">
        <v>2</v>
      </c>
      <c r="C21" s="25">
        <f t="shared" ref="C21:N21" si="1">SUM(C18:C20)</f>
        <v>10045</v>
      </c>
      <c r="D21" s="25">
        <f t="shared" si="1"/>
        <v>8205</v>
      </c>
      <c r="E21" s="25">
        <f t="shared" si="1"/>
        <v>9817.64</v>
      </c>
      <c r="F21" s="25">
        <f t="shared" si="1"/>
        <v>9585</v>
      </c>
      <c r="G21" s="25">
        <f t="shared" si="1"/>
        <v>10285</v>
      </c>
      <c r="H21" s="25">
        <f t="shared" si="1"/>
        <v>9125</v>
      </c>
      <c r="I21" s="25">
        <f t="shared" si="1"/>
        <v>10505</v>
      </c>
      <c r="J21" s="25">
        <f t="shared" si="1"/>
        <v>-75</v>
      </c>
      <c r="K21" s="25">
        <f t="shared" si="1"/>
        <v>9585</v>
      </c>
      <c r="L21" s="25">
        <f t="shared" si="1"/>
        <v>11505</v>
      </c>
      <c r="M21" s="25">
        <f t="shared" si="1"/>
        <v>8665</v>
      </c>
      <c r="N21" s="25">
        <f t="shared" si="1"/>
        <v>9154.9</v>
      </c>
      <c r="O21" s="5"/>
      <c r="P21" s="38">
        <f>SUM(C21:N21)</f>
        <v>106402.54</v>
      </c>
    </row>
    <row r="22" spans="2:16" x14ac:dyDescent="0.3">
      <c r="B22" s="2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"/>
    </row>
    <row r="23" spans="2:16" x14ac:dyDescent="0.3">
      <c r="B23" s="26" t="s">
        <v>1</v>
      </c>
      <c r="C23" s="59"/>
      <c r="D23" s="59"/>
      <c r="E23" s="59"/>
      <c r="F23" s="28"/>
      <c r="G23" s="59"/>
      <c r="H23" s="28"/>
      <c r="I23" s="59"/>
      <c r="J23" s="28"/>
      <c r="K23" s="59"/>
      <c r="L23" s="28"/>
      <c r="M23" s="59"/>
      <c r="N23" s="28"/>
      <c r="O23" s="4"/>
      <c r="P23" s="50"/>
    </row>
    <row r="24" spans="2:16" x14ac:dyDescent="0.3">
      <c r="B24" s="8" t="s">
        <v>7</v>
      </c>
      <c r="C24" s="9">
        <v>5420.85</v>
      </c>
      <c r="D24" s="9">
        <v>5420.85</v>
      </c>
      <c r="E24" s="9">
        <v>5420.85</v>
      </c>
      <c r="F24" s="9">
        <v>5420.85</v>
      </c>
      <c r="G24" s="9">
        <v>6329.67</v>
      </c>
      <c r="H24" s="9">
        <v>5420.85</v>
      </c>
      <c r="I24" s="9">
        <v>5420.85</v>
      </c>
      <c r="J24" s="9">
        <v>2861.62</v>
      </c>
      <c r="K24" s="9">
        <v>5409.97</v>
      </c>
      <c r="L24" s="9">
        <v>5409.97</v>
      </c>
      <c r="M24" s="9">
        <v>5420.85</v>
      </c>
      <c r="N24" s="9">
        <v>5177.4799999999996</v>
      </c>
      <c r="O24" s="4"/>
      <c r="P24" s="39">
        <f>SUM(C24:N24)</f>
        <v>63134.66</v>
      </c>
    </row>
    <row r="25" spans="2:16" x14ac:dyDescent="0.3">
      <c r="B25" s="8" t="s">
        <v>8</v>
      </c>
      <c r="C25" s="9">
        <f>1132.59+1927.38</f>
        <v>3059.9700000000003</v>
      </c>
      <c r="D25" s="9">
        <f>1132.59+1917.3</f>
        <v>3049.89</v>
      </c>
      <c r="E25" s="9">
        <f>1132.59+1919.94</f>
        <v>3052.5299999999997</v>
      </c>
      <c r="F25" s="9">
        <f>1132.59+1917.3</f>
        <v>3049.89</v>
      </c>
      <c r="G25" s="9">
        <f>1353.11+3974.83</f>
        <v>5327.94</v>
      </c>
      <c r="H25" s="9">
        <f>1132.59+2269.54</f>
        <v>3402.13</v>
      </c>
      <c r="I25" s="9">
        <f>1132.59+2272.27</f>
        <v>3404.8599999999997</v>
      </c>
      <c r="J25" s="9">
        <f>640+1236.86</f>
        <v>1876.86</v>
      </c>
      <c r="K25" s="9">
        <f>1131.35+2297.04</f>
        <v>3428.39</v>
      </c>
      <c r="L25" s="9">
        <f>1131.35+2268.11</f>
        <v>3399.46</v>
      </c>
      <c r="M25" s="9">
        <f>1132.59+2272.27</f>
        <v>3404.8599999999997</v>
      </c>
      <c r="N25" s="9">
        <f>1084.41+2200</f>
        <v>3284.41</v>
      </c>
      <c r="O25" s="4"/>
      <c r="P25" s="39">
        <f>SUM(C25:N25)</f>
        <v>39741.19</v>
      </c>
    </row>
    <row r="26" spans="2:16" x14ac:dyDescent="0.3">
      <c r="B26" s="60" t="s">
        <v>42</v>
      </c>
      <c r="C26" s="61">
        <v>412.048</v>
      </c>
      <c r="D26" s="61">
        <v>355.31200000000001</v>
      </c>
      <c r="E26" s="61">
        <v>397.86399999999998</v>
      </c>
      <c r="F26" s="61">
        <v>397.86399999999998</v>
      </c>
      <c r="G26" s="61">
        <v>326.94400000000002</v>
      </c>
      <c r="H26" s="61">
        <v>383.68</v>
      </c>
      <c r="I26" s="61">
        <v>426.23200000000003</v>
      </c>
      <c r="J26" s="61">
        <v>0</v>
      </c>
      <c r="K26" s="61">
        <v>397.86399999999998</v>
      </c>
      <c r="L26" s="61">
        <v>426.23200000000003</v>
      </c>
      <c r="M26" s="61">
        <v>369.49599999999998</v>
      </c>
      <c r="N26" s="61">
        <v>798.68</v>
      </c>
      <c r="O26" s="4"/>
      <c r="P26" s="39">
        <f>SUM(C26:N26)</f>
        <v>4692.2160000000003</v>
      </c>
    </row>
    <row r="27" spans="2:16" x14ac:dyDescent="0.3">
      <c r="B27" s="8" t="s">
        <v>45</v>
      </c>
      <c r="C27" s="9"/>
      <c r="D27" s="9"/>
      <c r="E27" s="9">
        <v>232.64</v>
      </c>
      <c r="F27" s="9"/>
      <c r="G27" s="9"/>
      <c r="H27" s="9"/>
      <c r="I27" s="9"/>
      <c r="J27" s="9"/>
      <c r="K27" s="9"/>
      <c r="L27" s="9"/>
      <c r="M27" s="9"/>
      <c r="N27" s="9">
        <v>29.9</v>
      </c>
      <c r="O27" s="4"/>
      <c r="P27" s="39">
        <f>SUM(C27:N27)</f>
        <v>262.53999999999996</v>
      </c>
    </row>
    <row r="28" spans="2:16" x14ac:dyDescent="0.3">
      <c r="B28" s="7" t="s">
        <v>3</v>
      </c>
      <c r="C28" s="40">
        <f>SUM(C24:C26)</f>
        <v>8892.8680000000004</v>
      </c>
      <c r="D28" s="40">
        <f>SUM(D24:D26)</f>
        <v>8826.0519999999997</v>
      </c>
      <c r="E28" s="40">
        <f t="shared" ref="E28:N28" si="2">SUM(E24:E27)</f>
        <v>9103.884</v>
      </c>
      <c r="F28" s="40">
        <f t="shared" si="2"/>
        <v>8868.6039999999994</v>
      </c>
      <c r="G28" s="40">
        <f t="shared" si="2"/>
        <v>11984.554</v>
      </c>
      <c r="H28" s="40">
        <f t="shared" si="2"/>
        <v>9206.66</v>
      </c>
      <c r="I28" s="40">
        <f t="shared" si="2"/>
        <v>9251.9419999999991</v>
      </c>
      <c r="J28" s="40">
        <f t="shared" si="2"/>
        <v>4738.4799999999996</v>
      </c>
      <c r="K28" s="40">
        <f t="shared" si="2"/>
        <v>9236.2240000000002</v>
      </c>
      <c r="L28" s="40">
        <f t="shared" si="2"/>
        <v>9235.6620000000003</v>
      </c>
      <c r="M28" s="40">
        <f t="shared" si="2"/>
        <v>9195.2059999999983</v>
      </c>
      <c r="N28" s="40">
        <f t="shared" si="2"/>
        <v>9290.4699999999993</v>
      </c>
      <c r="O28" s="4"/>
      <c r="P28" s="41">
        <f>SUM(C28:N28)</f>
        <v>107830.606</v>
      </c>
    </row>
    <row r="29" spans="2:16" x14ac:dyDescent="0.3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3">
      <c r="B30" s="43" t="s">
        <v>25</v>
      </c>
      <c r="C30" s="44">
        <f t="shared" ref="C30:N30" si="3">C21-C28</f>
        <v>1152.1319999999996</v>
      </c>
      <c r="D30" s="44">
        <f t="shared" si="3"/>
        <v>-621.05199999999968</v>
      </c>
      <c r="E30" s="44">
        <f t="shared" si="3"/>
        <v>713.7559999999994</v>
      </c>
      <c r="F30" s="44">
        <f t="shared" si="3"/>
        <v>716.39600000000064</v>
      </c>
      <c r="G30" s="44">
        <f t="shared" si="3"/>
        <v>-1699.5540000000001</v>
      </c>
      <c r="H30" s="44">
        <f t="shared" si="3"/>
        <v>-81.659999999999854</v>
      </c>
      <c r="I30" s="44">
        <f t="shared" si="3"/>
        <v>1253.0580000000009</v>
      </c>
      <c r="J30" s="44">
        <f t="shared" si="3"/>
        <v>-4813.4799999999996</v>
      </c>
      <c r="K30" s="44">
        <f t="shared" si="3"/>
        <v>348.77599999999984</v>
      </c>
      <c r="L30" s="44">
        <f t="shared" si="3"/>
        <v>2269.3379999999997</v>
      </c>
      <c r="M30" s="44">
        <f t="shared" si="3"/>
        <v>-530.20599999999831</v>
      </c>
      <c r="N30" s="44">
        <f t="shared" si="3"/>
        <v>-135.56999999999971</v>
      </c>
      <c r="P30" s="54">
        <f>SUM(C30:N30)</f>
        <v>-1428.0659999999971</v>
      </c>
    </row>
    <row r="32" spans="2:16" x14ac:dyDescent="0.3">
      <c r="B32" s="62" t="s">
        <v>40</v>
      </c>
      <c r="C32" s="63">
        <v>792</v>
      </c>
      <c r="D32" s="63">
        <v>648</v>
      </c>
      <c r="E32" s="63">
        <v>756</v>
      </c>
      <c r="F32" s="63">
        <v>756</v>
      </c>
      <c r="G32" s="63">
        <v>576</v>
      </c>
      <c r="H32" s="63">
        <v>720</v>
      </c>
      <c r="I32" s="63">
        <v>828</v>
      </c>
      <c r="J32" s="63">
        <v>0</v>
      </c>
      <c r="K32" s="63">
        <v>756</v>
      </c>
      <c r="L32" s="63">
        <v>828</v>
      </c>
      <c r="M32" s="63">
        <v>684</v>
      </c>
      <c r="N32" s="63">
        <v>720</v>
      </c>
      <c r="P32" s="64">
        <f>SUM(C32:N32)</f>
        <v>8064</v>
      </c>
    </row>
    <row r="33" spans="2:16" x14ac:dyDescent="0.3">
      <c r="B33" s="62" t="s">
        <v>41</v>
      </c>
      <c r="C33" s="63">
        <v>412.048</v>
      </c>
      <c r="D33" s="63">
        <v>355.31200000000001</v>
      </c>
      <c r="E33" s="63">
        <v>397.86</v>
      </c>
      <c r="F33" s="63">
        <v>397.86399999999998</v>
      </c>
      <c r="G33" s="63">
        <v>326.94400000000002</v>
      </c>
      <c r="H33" s="63">
        <v>383.68</v>
      </c>
      <c r="I33" s="63">
        <v>426.23200000000003</v>
      </c>
      <c r="J33" s="63">
        <v>0</v>
      </c>
      <c r="K33" s="63">
        <v>397.86399999999998</v>
      </c>
      <c r="L33" s="63">
        <v>426.23200000000003</v>
      </c>
      <c r="M33" s="63">
        <v>369.49599999999998</v>
      </c>
      <c r="N33" s="63">
        <v>798.68</v>
      </c>
      <c r="P33" s="64">
        <f>SUM(C33:N33)</f>
        <v>4692.2120000000004</v>
      </c>
    </row>
    <row r="35" spans="2:16" x14ac:dyDescent="0.3">
      <c r="N35" s="63" t="s">
        <v>46</v>
      </c>
      <c r="P35" s="64">
        <f>(P32*0.394) + 1515</f>
        <v>4692.2160000000003</v>
      </c>
    </row>
    <row r="36" spans="2:16" x14ac:dyDescent="0.3">
      <c r="N36" s="63" t="s">
        <v>47</v>
      </c>
      <c r="P36" s="64">
        <f>P35-P33</f>
        <v>3.9999999999054126E-3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6"/>
  <sheetViews>
    <sheetView tabSelected="1" topLeftCell="A16" workbookViewId="0">
      <selection activeCell="I36" sqref="I36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0" style="45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7</v>
      </c>
      <c r="K6" s="33"/>
      <c r="L6" s="33"/>
      <c r="M6" s="33"/>
      <c r="N6" s="33"/>
      <c r="O6" s="31"/>
      <c r="P6" s="52">
        <f>SUM(C6:N6)</f>
        <v>140</v>
      </c>
    </row>
    <row r="7" spans="2:16" x14ac:dyDescent="0.3">
      <c r="B7" s="8" t="s">
        <v>20</v>
      </c>
      <c r="C7" s="33">
        <v>22</v>
      </c>
      <c r="D7" s="33">
        <v>20</v>
      </c>
      <c r="E7" s="33">
        <v>14</v>
      </c>
      <c r="F7" s="33">
        <v>21</v>
      </c>
      <c r="G7" s="33">
        <v>19</v>
      </c>
      <c r="H7" s="33">
        <v>17</v>
      </c>
      <c r="I7" s="33">
        <v>9</v>
      </c>
      <c r="J7" s="33">
        <v>18</v>
      </c>
      <c r="K7" s="33"/>
      <c r="L7" s="33"/>
      <c r="M7" s="33"/>
      <c r="N7" s="33"/>
      <c r="O7" s="31"/>
      <c r="P7" s="52">
        <f>SUM(C7:N7)</f>
        <v>140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-5</v>
      </c>
      <c r="F8" s="32">
        <f t="shared" si="0"/>
        <v>2</v>
      </c>
      <c r="G8" s="32">
        <f t="shared" si="0"/>
        <v>0</v>
      </c>
      <c r="H8" s="32">
        <f t="shared" si="0"/>
        <v>-2</v>
      </c>
      <c r="I8" s="32">
        <f t="shared" si="0"/>
        <v>-10</v>
      </c>
      <c r="J8" s="32">
        <f t="shared" si="0"/>
        <v>11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14</v>
      </c>
      <c r="F11" s="10">
        <v>21</v>
      </c>
      <c r="G11" s="10">
        <v>19</v>
      </c>
      <c r="H11" s="10">
        <v>17</v>
      </c>
      <c r="I11" s="10">
        <v>9</v>
      </c>
      <c r="J11" s="10">
        <v>18</v>
      </c>
      <c r="K11" s="10"/>
      <c r="L11" s="10"/>
      <c r="M11" s="10"/>
      <c r="N11" s="10"/>
      <c r="P11" s="53">
        <f>SUM(C11:N11)</f>
        <v>140</v>
      </c>
    </row>
    <row r="12" spans="2:16" x14ac:dyDescent="0.3">
      <c r="B12" s="8" t="s">
        <v>15</v>
      </c>
      <c r="C12" s="11"/>
      <c r="D12" s="11"/>
      <c r="E12" s="11">
        <v>7</v>
      </c>
      <c r="F12" s="11"/>
      <c r="G12" s="11"/>
      <c r="H12" s="11">
        <v>3</v>
      </c>
      <c r="I12" s="11">
        <v>13</v>
      </c>
      <c r="J12" s="11">
        <v>2</v>
      </c>
      <c r="K12" s="11"/>
      <c r="L12" s="11"/>
      <c r="M12" s="11"/>
      <c r="N12" s="11"/>
      <c r="P12" s="53">
        <f>SUM(C12:N12)</f>
        <v>25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5" t="s">
        <v>43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3">
        <f>SUM(C14:N14)</f>
        <v>0</v>
      </c>
    </row>
    <row r="15" spans="2:16" x14ac:dyDescent="0.3">
      <c r="B15" s="16" t="s">
        <v>14</v>
      </c>
      <c r="C15" s="20"/>
      <c r="D15" s="20"/>
      <c r="E15" s="20"/>
      <c r="F15" s="20">
        <v>0.5</v>
      </c>
      <c r="G15" s="20">
        <v>1</v>
      </c>
      <c r="H15" s="20"/>
      <c r="I15" s="20"/>
      <c r="J15" s="20"/>
      <c r="K15" s="20"/>
      <c r="L15" s="20"/>
      <c r="M15" s="20"/>
      <c r="N15" s="20"/>
      <c r="P15" s="53">
        <f>SUM(C15:N15)</f>
        <v>1.5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C11*Params!$C$7*(1-Params!$C$3)-Params!$C$4</f>
        <v>12069</v>
      </c>
      <c r="D18" s="9">
        <f>D11*Params!$C$7*(1-Params!$C$3)-Params!$C$4</f>
        <v>10965</v>
      </c>
      <c r="E18" s="9">
        <f>E11*Params!$C$7*(1-Params!$C$3)-Params!$C$4</f>
        <v>7653</v>
      </c>
      <c r="F18" s="9">
        <f>F11*Params!$C$7*(1-Params!$C$3)-Params!$C$4</f>
        <v>11517</v>
      </c>
      <c r="G18" s="9">
        <f>G11*Params!$C$7*(1-Params!$C$3)-Params!$C$4</f>
        <v>10413</v>
      </c>
      <c r="H18" s="9">
        <f>H11*Params!$C$7*(1-Params!$C$3)-Params!$C$4</f>
        <v>9309</v>
      </c>
      <c r="I18" s="9">
        <f>I11*Params!$C$8*(1-Params!$C$3)-Params!$C$4</f>
        <v>5307</v>
      </c>
      <c r="J18" s="9">
        <f>J11*Params!$C$8*(1-Params!$C$3)-Params!$C$4</f>
        <v>10689</v>
      </c>
      <c r="K18" s="9"/>
      <c r="L18" s="9"/>
      <c r="M18" s="9"/>
      <c r="N18" s="9"/>
      <c r="O18" s="4"/>
      <c r="P18" s="37">
        <f>SUM(C18:N18)</f>
        <v>77922</v>
      </c>
    </row>
    <row r="19" spans="2:16" x14ac:dyDescent="0.3">
      <c r="B19" s="8" t="s">
        <v>14</v>
      </c>
      <c r="C19" s="9"/>
      <c r="D19" s="9"/>
      <c r="E19" s="9"/>
      <c r="F19" s="9">
        <v>600</v>
      </c>
      <c r="G19" s="9">
        <v>1200</v>
      </c>
      <c r="H19" s="9"/>
      <c r="I19" s="9"/>
      <c r="J19" s="9"/>
      <c r="K19" s="9"/>
      <c r="L19" s="9"/>
      <c r="M19" s="9"/>
      <c r="N19" s="9"/>
      <c r="O19" s="4"/>
      <c r="P19" s="37">
        <f>SUM(C19:N19)</f>
        <v>1800</v>
      </c>
    </row>
    <row r="20" spans="2:16" x14ac:dyDescent="0.3">
      <c r="B20" s="60" t="s">
        <v>39</v>
      </c>
      <c r="C20" s="61"/>
      <c r="D20" s="61"/>
      <c r="E20" s="61">
        <v>30.8</v>
      </c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37">
        <f>SUM(C20:N20)</f>
        <v>30.8</v>
      </c>
    </row>
    <row r="21" spans="2:16" x14ac:dyDescent="0.3">
      <c r="B21" s="24" t="s">
        <v>2</v>
      </c>
      <c r="C21" s="25">
        <f t="shared" ref="C21:N21" si="1">SUM(C18:C20)</f>
        <v>12069</v>
      </c>
      <c r="D21" s="25">
        <f t="shared" si="1"/>
        <v>10965</v>
      </c>
      <c r="E21" s="25">
        <f t="shared" si="1"/>
        <v>7683.8</v>
      </c>
      <c r="F21" s="25">
        <f t="shared" si="1"/>
        <v>12117</v>
      </c>
      <c r="G21" s="25">
        <f t="shared" si="1"/>
        <v>11613</v>
      </c>
      <c r="H21" s="25">
        <f t="shared" si="1"/>
        <v>9309</v>
      </c>
      <c r="I21" s="25">
        <f t="shared" si="1"/>
        <v>5307</v>
      </c>
      <c r="J21" s="25">
        <f t="shared" si="1"/>
        <v>10689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5"/>
      <c r="P21" s="38">
        <f>SUM(C21:N21)</f>
        <v>79752.800000000003</v>
      </c>
    </row>
    <row r="22" spans="2:16" x14ac:dyDescent="0.3">
      <c r="B22" s="2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"/>
    </row>
    <row r="23" spans="2:16" x14ac:dyDescent="0.3">
      <c r="B23" s="26" t="s">
        <v>1</v>
      </c>
      <c r="C23" s="59"/>
      <c r="D23" s="59"/>
      <c r="E23" s="59"/>
      <c r="F23" s="28"/>
      <c r="G23" s="59"/>
      <c r="H23" s="28"/>
      <c r="I23" s="59"/>
      <c r="J23" s="28"/>
      <c r="K23" s="59"/>
      <c r="L23" s="28"/>
      <c r="M23" s="59"/>
      <c r="N23" s="28"/>
      <c r="O23" s="4"/>
      <c r="P23" s="50"/>
    </row>
    <row r="24" spans="2:16" x14ac:dyDescent="0.3">
      <c r="B24" s="8" t="s">
        <v>7</v>
      </c>
      <c r="C24" s="9">
        <v>5240.92</v>
      </c>
      <c r="D24" s="9">
        <v>5240.92</v>
      </c>
      <c r="E24" s="9">
        <v>5240.92</v>
      </c>
      <c r="F24" s="9">
        <v>5240.92</v>
      </c>
      <c r="G24" s="9">
        <v>6148.94</v>
      </c>
      <c r="H24" s="9">
        <v>6148.94</v>
      </c>
      <c r="I24" s="9">
        <v>6148.94</v>
      </c>
      <c r="J24" s="9">
        <v>6165.08</v>
      </c>
      <c r="K24" s="9"/>
      <c r="L24" s="9"/>
      <c r="M24" s="9"/>
      <c r="N24" s="9"/>
      <c r="O24" s="4"/>
      <c r="P24" s="39">
        <f>SUM(C24:N24)</f>
        <v>45575.58</v>
      </c>
    </row>
    <row r="25" spans="2:16" x14ac:dyDescent="0.3">
      <c r="B25" s="8" t="s">
        <v>8</v>
      </c>
      <c r="C25" s="9">
        <f>1120.88+1913.36</f>
        <v>3034.24</v>
      </c>
      <c r="D25" s="9">
        <f>1120.88+1910.57</f>
        <v>3031.45</v>
      </c>
      <c r="E25" s="9">
        <f>1120.88+1910.57</f>
        <v>3031.45</v>
      </c>
      <c r="F25" s="9">
        <f>1120.88+3187.65</f>
        <v>4308.5300000000007</v>
      </c>
      <c r="G25" s="9">
        <f>1279.7+2579.34</f>
        <v>3859.04</v>
      </c>
      <c r="H25" s="9">
        <f>1279.7+2579.34</f>
        <v>3859.04</v>
      </c>
      <c r="I25" s="9">
        <f>1279.7+2587.23</f>
        <v>3866.9300000000003</v>
      </c>
      <c r="J25" s="9">
        <f>1297.72+2625.33</f>
        <v>3923.05</v>
      </c>
      <c r="K25" s="9"/>
      <c r="L25" s="9"/>
      <c r="M25" s="9"/>
      <c r="N25" s="9"/>
      <c r="O25" s="4"/>
      <c r="P25" s="39">
        <f>SUM(C25:N25)</f>
        <v>28913.73</v>
      </c>
    </row>
    <row r="26" spans="2:16" x14ac:dyDescent="0.3">
      <c r="B26" s="60" t="s">
        <v>42</v>
      </c>
      <c r="C26" s="61">
        <v>412.048</v>
      </c>
      <c r="D26" s="61">
        <v>383.68</v>
      </c>
      <c r="E26" s="61">
        <v>298.57600000000002</v>
      </c>
      <c r="F26" s="61">
        <v>397.86</v>
      </c>
      <c r="G26" s="61">
        <v>369.5</v>
      </c>
      <c r="H26" s="61">
        <v>341.13</v>
      </c>
      <c r="I26" s="61">
        <v>227.66</v>
      </c>
      <c r="J26" s="61">
        <v>355.31</v>
      </c>
      <c r="K26" s="61"/>
      <c r="L26" s="61"/>
      <c r="M26" s="61"/>
      <c r="N26" s="61"/>
      <c r="O26" s="4"/>
      <c r="P26" s="39">
        <f>SUM(C26:N26)</f>
        <v>2785.7640000000001</v>
      </c>
    </row>
    <row r="27" spans="2:16" x14ac:dyDescent="0.3">
      <c r="B27" s="8" t="s">
        <v>45</v>
      </c>
      <c r="C27" s="9"/>
      <c r="D27" s="9"/>
      <c r="E27" s="9">
        <v>30.8</v>
      </c>
      <c r="F27" s="9"/>
      <c r="G27" s="9"/>
      <c r="H27" s="9"/>
      <c r="I27" s="9"/>
      <c r="J27" s="9"/>
      <c r="K27" s="9"/>
      <c r="L27" s="9"/>
      <c r="M27" s="9"/>
      <c r="N27" s="9"/>
      <c r="O27" s="4"/>
      <c r="P27" s="39">
        <f>SUM(C27:N27)</f>
        <v>30.8</v>
      </c>
    </row>
    <row r="28" spans="2:16" x14ac:dyDescent="0.3">
      <c r="B28" s="7" t="s">
        <v>3</v>
      </c>
      <c r="C28" s="40">
        <f>SUM(C24:C26)</f>
        <v>8687.2080000000005</v>
      </c>
      <c r="D28" s="40">
        <f>SUM(D24:D26)</f>
        <v>8656.0499999999993</v>
      </c>
      <c r="E28" s="40">
        <f>SUM(E24:E27)</f>
        <v>8601.7459999999992</v>
      </c>
      <c r="F28" s="40">
        <f t="shared" ref="F28:N28" si="2">SUM(F24:F27)</f>
        <v>9947.3100000000013</v>
      </c>
      <c r="G28" s="40">
        <f t="shared" si="2"/>
        <v>10377.48</v>
      </c>
      <c r="H28" s="40">
        <f t="shared" si="2"/>
        <v>10349.109999999999</v>
      </c>
      <c r="I28" s="40">
        <f t="shared" si="2"/>
        <v>10243.529999999999</v>
      </c>
      <c r="J28" s="40">
        <f t="shared" si="2"/>
        <v>10443.44</v>
      </c>
      <c r="K28" s="40">
        <f t="shared" si="2"/>
        <v>0</v>
      </c>
      <c r="L28" s="40">
        <f t="shared" si="2"/>
        <v>0</v>
      </c>
      <c r="M28" s="40">
        <f t="shared" si="2"/>
        <v>0</v>
      </c>
      <c r="N28" s="40">
        <f t="shared" si="2"/>
        <v>0</v>
      </c>
      <c r="O28" s="4"/>
      <c r="P28" s="41">
        <f>SUM(C28:N28)</f>
        <v>77305.873999999996</v>
      </c>
    </row>
    <row r="29" spans="2:16" x14ac:dyDescent="0.3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3">
      <c r="B30" s="43" t="s">
        <v>25</v>
      </c>
      <c r="C30" s="44">
        <f t="shared" ref="C30:N30" si="3">C21-C28</f>
        <v>3381.7919999999995</v>
      </c>
      <c r="D30" s="44">
        <f t="shared" si="3"/>
        <v>2308.9500000000007</v>
      </c>
      <c r="E30" s="44">
        <f t="shared" si="3"/>
        <v>-917.945999999999</v>
      </c>
      <c r="F30" s="44">
        <f t="shared" si="3"/>
        <v>2169.6899999999987</v>
      </c>
      <c r="G30" s="44">
        <f t="shared" si="3"/>
        <v>1235.5200000000004</v>
      </c>
      <c r="H30" s="44">
        <f t="shared" si="3"/>
        <v>-1040.1099999999988</v>
      </c>
      <c r="I30" s="44">
        <f t="shared" si="3"/>
        <v>-4936.5299999999988</v>
      </c>
      <c r="J30" s="44">
        <f t="shared" si="3"/>
        <v>245.55999999999949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P30" s="54">
        <f>SUM(C30:N30)</f>
        <v>2446.9260000000022</v>
      </c>
    </row>
    <row r="32" spans="2:16" x14ac:dyDescent="0.3">
      <c r="B32" s="62" t="s">
        <v>40</v>
      </c>
      <c r="C32" s="63">
        <v>792</v>
      </c>
      <c r="D32" s="63">
        <v>720</v>
      </c>
      <c r="E32" s="63">
        <v>504</v>
      </c>
      <c r="F32" s="63">
        <v>756</v>
      </c>
      <c r="G32" s="63">
        <v>684</v>
      </c>
      <c r="H32" s="63">
        <v>612</v>
      </c>
      <c r="I32" s="63">
        <v>324</v>
      </c>
      <c r="J32" s="63">
        <v>648</v>
      </c>
      <c r="K32" s="63"/>
      <c r="L32" s="63"/>
      <c r="M32" s="63"/>
      <c r="N32" s="63"/>
      <c r="P32" s="64">
        <f>SUM(C32:N32)</f>
        <v>5040</v>
      </c>
    </row>
    <row r="33" spans="2:16" x14ac:dyDescent="0.3">
      <c r="B33" s="62" t="s">
        <v>41</v>
      </c>
      <c r="C33" s="63">
        <v>412.048</v>
      </c>
      <c r="D33" s="63">
        <v>383.68</v>
      </c>
      <c r="E33" s="63">
        <v>298.57600000000002</v>
      </c>
      <c r="F33" s="63">
        <v>397.86</v>
      </c>
      <c r="G33" s="63">
        <v>369.5</v>
      </c>
      <c r="H33" s="63">
        <v>341.13</v>
      </c>
      <c r="I33" s="63">
        <v>227.66</v>
      </c>
      <c r="J33" s="63">
        <v>355.31</v>
      </c>
      <c r="K33" s="63"/>
      <c r="L33" s="63"/>
      <c r="M33" s="63"/>
      <c r="N33" s="63"/>
      <c r="P33" s="64">
        <f>SUM(C33:N33)</f>
        <v>2785.7640000000001</v>
      </c>
    </row>
    <row r="35" spans="2:16" x14ac:dyDescent="0.3">
      <c r="N35" s="63" t="s">
        <v>46</v>
      </c>
      <c r="P35" s="64">
        <f>(P32*0.394) + 1515</f>
        <v>3500.76</v>
      </c>
    </row>
    <row r="36" spans="2:16" x14ac:dyDescent="0.3">
      <c r="N36" s="63" t="s">
        <v>47</v>
      </c>
      <c r="P36" s="64">
        <f>P35-P33</f>
        <v>714.99600000000009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8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22</v>
      </c>
      <c r="C2" s="70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450</v>
      </c>
    </row>
    <row r="6" spans="2:3" ht="34.950000000000003" customHeight="1" x14ac:dyDescent="0.3">
      <c r="B6" s="29" t="s">
        <v>44</v>
      </c>
      <c r="C6" s="29">
        <v>500</v>
      </c>
    </row>
    <row r="7" spans="2:3" x14ac:dyDescent="0.3">
      <c r="B7" s="29" t="s">
        <v>49</v>
      </c>
      <c r="C7" s="29">
        <v>600</v>
      </c>
    </row>
    <row r="8" spans="2:3" x14ac:dyDescent="0.3">
      <c r="B8" s="29" t="s">
        <v>50</v>
      </c>
      <c r="C8" s="29">
        <v>650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1" t="s">
        <v>23</v>
      </c>
      <c r="C2" s="71"/>
    </row>
    <row r="3" spans="2:3" ht="16.95" customHeight="1" x14ac:dyDescent="0.3">
      <c r="B3" s="34" t="s">
        <v>24</v>
      </c>
      <c r="C3" s="35">
        <f>'2023'!P28+'2024'!P30+'2025'!P30</f>
        <v>860.62000000000398</v>
      </c>
    </row>
    <row r="4" spans="2:3" ht="16.95" customHeight="1" x14ac:dyDescent="0.3">
      <c r="B4" s="34" t="s">
        <v>26</v>
      </c>
      <c r="C4" s="36">
        <f>SUM('2023'!P12)+('2024'!P12)+'2025'!P12</f>
        <v>49</v>
      </c>
    </row>
    <row r="5" spans="2:3" x14ac:dyDescent="0.3">
      <c r="B5" t="s">
        <v>48</v>
      </c>
      <c r="C5">
        <f>(25*1)+(2.08*8)-C4</f>
        <v>-7.3599999999999994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102</vt:i4>
      </vt:variant>
    </vt:vector>
  </HeadingPairs>
  <TitlesOfParts>
    <vt:vector size="107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'2025'!FRAIS_KM</vt:lpstr>
      <vt:lpstr>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'2025'!NOMBRE_KM</vt:lpstr>
      <vt:lpstr>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'2025'!SORTIES_FRAIS_KM</vt:lpstr>
      <vt:lpstr>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2025-09-11T08:18:25Z</dcterms:modified>
</cp:coreProperties>
</file>