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C-HOUDA\OneDrive\Bureau\"/>
    </mc:Choice>
  </mc:AlternateContent>
  <xr:revisionPtr revIDLastSave="0" documentId="13_ncr:1_{262165BE-A321-421D-8B49-848430BE1D30}" xr6:coauthVersionLast="47" xr6:coauthVersionMax="47" xr10:uidLastSave="{00000000-0000-0000-0000-000000000000}"/>
  <bookViews>
    <workbookView xWindow="-108" yWindow="-108" windowWidth="23256" windowHeight="14856" xr2:uid="{7197597A-D472-4DF9-8F60-FB98CBA82477}"/>
  </bookViews>
  <sheets>
    <sheet name="Réel 2024" sheetId="1" r:id="rId1"/>
    <sheet name="Estimation Janvier" sheetId="4" r:id="rId2"/>
    <sheet name="Estimation Février" sheetId="5" r:id="rId3"/>
    <sheet name="Estimation Mars" sheetId="9" r:id="rId4"/>
    <sheet name="Estimation Avril" sheetId="8" r:id="rId5"/>
    <sheet name="Estimation Mai" sheetId="10" r:id="rId6"/>
    <sheet name="Estimation Juin" sheetId="11" r:id="rId7"/>
    <sheet name="Estimation Juillet" sheetId="12" r:id="rId8"/>
    <sheet name="Estimation Août" sheetId="13" r:id="rId9"/>
    <sheet name="Estimation Septembre" sheetId="14" r:id="rId10"/>
    <sheet name="Estimation Octobre" sheetId="15" r:id="rId11"/>
    <sheet name="Estimation Novembre" sheetId="16" r:id="rId12"/>
    <sheet name="Estimation Décembre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C50" i="17" l="1"/>
  <c r="Q49" i="17"/>
  <c r="F49" i="17"/>
  <c r="Q48" i="17"/>
  <c r="E47" i="17"/>
  <c r="Q47" i="17" s="1"/>
  <c r="F46" i="17"/>
  <c r="Q46" i="17" s="1"/>
  <c r="Q45" i="17"/>
  <c r="N45" i="17"/>
  <c r="M45" i="17"/>
  <c r="L45" i="17"/>
  <c r="H45" i="17"/>
  <c r="E45" i="17"/>
  <c r="Q44" i="17"/>
  <c r="Q43" i="17"/>
  <c r="Q42" i="17"/>
  <c r="N41" i="17"/>
  <c r="M41" i="17"/>
  <c r="L41" i="17"/>
  <c r="K41" i="17"/>
  <c r="J41" i="17"/>
  <c r="I41" i="17"/>
  <c r="H41" i="17"/>
  <c r="G41" i="17"/>
  <c r="F41" i="17"/>
  <c r="E41" i="17"/>
  <c r="D41" i="17"/>
  <c r="Q41" i="17" s="1"/>
  <c r="O40" i="17"/>
  <c r="N40" i="17"/>
  <c r="K40" i="17"/>
  <c r="G40" i="17"/>
  <c r="F40" i="17"/>
  <c r="D40" i="17"/>
  <c r="Q40" i="17" s="1"/>
  <c r="O39" i="17"/>
  <c r="M39" i="17"/>
  <c r="L39" i="17"/>
  <c r="L50" i="17" s="1"/>
  <c r="K39" i="17"/>
  <c r="K50" i="17" s="1"/>
  <c r="J39" i="17"/>
  <c r="I39" i="17"/>
  <c r="H39" i="17"/>
  <c r="G39" i="17"/>
  <c r="F39" i="17"/>
  <c r="E39" i="17"/>
  <c r="D39" i="17"/>
  <c r="Q39" i="17" s="1"/>
  <c r="O38" i="17"/>
  <c r="N38" i="17"/>
  <c r="M38" i="17"/>
  <c r="L38" i="17"/>
  <c r="K38" i="17"/>
  <c r="J38" i="17"/>
  <c r="I38" i="17"/>
  <c r="H38" i="17"/>
  <c r="Q38" i="17" s="1"/>
  <c r="G38" i="17"/>
  <c r="F38" i="17"/>
  <c r="E38" i="17"/>
  <c r="D38" i="17"/>
  <c r="Q37" i="17"/>
  <c r="O36" i="17"/>
  <c r="N36" i="17"/>
  <c r="M36" i="17"/>
  <c r="L36" i="17"/>
  <c r="K36" i="17"/>
  <c r="J36" i="17"/>
  <c r="I36" i="17"/>
  <c r="H36" i="17"/>
  <c r="G36" i="17"/>
  <c r="F36" i="17"/>
  <c r="E36" i="17"/>
  <c r="Q36" i="17" s="1"/>
  <c r="D36" i="17"/>
  <c r="Q34" i="17"/>
  <c r="Q33" i="17"/>
  <c r="O33" i="17"/>
  <c r="Q32" i="17"/>
  <c r="O31" i="17"/>
  <c r="N31" i="17"/>
  <c r="M31" i="17"/>
  <c r="L31" i="17"/>
  <c r="K31" i="17"/>
  <c r="J31" i="17"/>
  <c r="I31" i="17"/>
  <c r="H31" i="17"/>
  <c r="G31" i="17"/>
  <c r="Q31" i="17" s="1"/>
  <c r="F31" i="17"/>
  <c r="E31" i="17"/>
  <c r="D31" i="17"/>
  <c r="Q30" i="17"/>
  <c r="Q29" i="17"/>
  <c r="Q28" i="17"/>
  <c r="Q27" i="17"/>
  <c r="Q26" i="17"/>
  <c r="O26" i="17"/>
  <c r="J26" i="17"/>
  <c r="Q25" i="17"/>
  <c r="N25" i="17"/>
  <c r="H25" i="17"/>
  <c r="N23" i="17"/>
  <c r="H23" i="17"/>
  <c r="Q22" i="17"/>
  <c r="N22" i="17"/>
  <c r="G22" i="17"/>
  <c r="Q21" i="17"/>
  <c r="J21" i="17"/>
  <c r="F21" i="17"/>
  <c r="Q19" i="17"/>
  <c r="H18" i="17"/>
  <c r="Q18" i="17" s="1"/>
  <c r="G18" i="17"/>
  <c r="O17" i="17"/>
  <c r="O50" i="17" s="1"/>
  <c r="N17" i="17"/>
  <c r="N50" i="17" s="1"/>
  <c r="N52" i="17" s="1"/>
  <c r="M17" i="17"/>
  <c r="M50" i="17" s="1"/>
  <c r="L17" i="17"/>
  <c r="K17" i="17"/>
  <c r="J17" i="17"/>
  <c r="J50" i="17" s="1"/>
  <c r="I17" i="17"/>
  <c r="I50" i="17" s="1"/>
  <c r="H17" i="17"/>
  <c r="H50" i="17" s="1"/>
  <c r="G17" i="17"/>
  <c r="G50" i="17" s="1"/>
  <c r="F17" i="17"/>
  <c r="F50" i="17" s="1"/>
  <c r="E17" i="17"/>
  <c r="E50" i="17" s="1"/>
  <c r="D17" i="17"/>
  <c r="Q17" i="17" s="1"/>
  <c r="O14" i="17"/>
  <c r="N14" i="17"/>
  <c r="G14" i="17"/>
  <c r="C14" i="17"/>
  <c r="C52" i="17" s="1"/>
  <c r="C53" i="17" s="1"/>
  <c r="Q13" i="17"/>
  <c r="H12" i="17"/>
  <c r="Q12" i="17" s="1"/>
  <c r="N11" i="17"/>
  <c r="M11" i="17"/>
  <c r="M14" i="17" s="1"/>
  <c r="M52" i="17" s="1"/>
  <c r="L11" i="17"/>
  <c r="L14" i="17" s="1"/>
  <c r="L52" i="17" s="1"/>
  <c r="K11" i="17"/>
  <c r="K14" i="17" s="1"/>
  <c r="K52" i="17" s="1"/>
  <c r="J11" i="17"/>
  <c r="J14" i="17" s="1"/>
  <c r="J52" i="17" s="1"/>
  <c r="I11" i="17"/>
  <c r="I14" i="17" s="1"/>
  <c r="I52" i="17" s="1"/>
  <c r="H11" i="17"/>
  <c r="H14" i="17" s="1"/>
  <c r="G11" i="17"/>
  <c r="F11" i="17"/>
  <c r="F14" i="17" s="1"/>
  <c r="E11" i="17"/>
  <c r="E14" i="17" s="1"/>
  <c r="E52" i="17" s="1"/>
  <c r="D11" i="17"/>
  <c r="D14" i="17" s="1"/>
  <c r="Q9" i="17"/>
  <c r="Q8" i="17"/>
  <c r="Q7" i="17"/>
  <c r="Q6" i="17"/>
  <c r="P2" i="17"/>
  <c r="O36" i="1"/>
  <c r="O31" i="1"/>
  <c r="O11" i="1"/>
  <c r="O14" i="1" s="1"/>
  <c r="O26" i="1"/>
  <c r="O40" i="1"/>
  <c r="O17" i="1"/>
  <c r="O38" i="1"/>
  <c r="O39" i="1"/>
  <c r="N31" i="1"/>
  <c r="N17" i="1"/>
  <c r="N36" i="1"/>
  <c r="N38" i="1"/>
  <c r="N40" i="1"/>
  <c r="N11" i="1"/>
  <c r="N14" i="1" s="1"/>
  <c r="N41" i="1"/>
  <c r="N22" i="1"/>
  <c r="N23" i="1"/>
  <c r="N50" i="16"/>
  <c r="N45" i="16"/>
  <c r="N38" i="16"/>
  <c r="N31" i="16"/>
  <c r="N25" i="16"/>
  <c r="N17" i="16"/>
  <c r="N45" i="1"/>
  <c r="N25" i="1"/>
  <c r="N14" i="16"/>
  <c r="O50" i="16"/>
  <c r="C50" i="16"/>
  <c r="F49" i="16"/>
  <c r="Q49" i="16" s="1"/>
  <c r="Q48" i="16"/>
  <c r="Q47" i="16"/>
  <c r="E47" i="16"/>
  <c r="F46" i="16"/>
  <c r="Q46" i="16" s="1"/>
  <c r="M45" i="16"/>
  <c r="L45" i="16"/>
  <c r="H45" i="16"/>
  <c r="E45" i="16"/>
  <c r="Q45" i="16" s="1"/>
  <c r="Q44" i="16"/>
  <c r="Q43" i="16"/>
  <c r="Q42" i="16"/>
  <c r="M41" i="16"/>
  <c r="L41" i="16"/>
  <c r="K41" i="16"/>
  <c r="J41" i="16"/>
  <c r="I41" i="16"/>
  <c r="H41" i="16"/>
  <c r="G41" i="16"/>
  <c r="F41" i="16"/>
  <c r="E41" i="16"/>
  <c r="D41" i="16"/>
  <c r="Q41" i="16" s="1"/>
  <c r="K40" i="16"/>
  <c r="G40" i="16"/>
  <c r="F40" i="16"/>
  <c r="D40" i="16"/>
  <c r="Q40" i="16" s="1"/>
  <c r="M39" i="16"/>
  <c r="L39" i="16"/>
  <c r="K39" i="16"/>
  <c r="J39" i="16"/>
  <c r="I39" i="16"/>
  <c r="H39" i="16"/>
  <c r="G39" i="16"/>
  <c r="F39" i="16"/>
  <c r="E39" i="16"/>
  <c r="D39" i="16"/>
  <c r="Q39" i="16" s="1"/>
  <c r="M38" i="16"/>
  <c r="L38" i="16"/>
  <c r="K38" i="16"/>
  <c r="J38" i="16"/>
  <c r="I38" i="16"/>
  <c r="H38" i="16"/>
  <c r="G38" i="16"/>
  <c r="F38" i="16"/>
  <c r="E38" i="16"/>
  <c r="Q38" i="16" s="1"/>
  <c r="D38" i="16"/>
  <c r="Q37" i="16"/>
  <c r="M36" i="16"/>
  <c r="L36" i="16"/>
  <c r="K36" i="16"/>
  <c r="J36" i="16"/>
  <c r="I36" i="16"/>
  <c r="H36" i="16"/>
  <c r="G36" i="16"/>
  <c r="F36" i="16"/>
  <c r="Q36" i="16" s="1"/>
  <c r="E36" i="16"/>
  <c r="D36" i="16"/>
  <c r="Q34" i="16"/>
  <c r="Q33" i="16"/>
  <c r="Q32" i="16"/>
  <c r="M31" i="16"/>
  <c r="L31" i="16"/>
  <c r="K31" i="16"/>
  <c r="J31" i="16"/>
  <c r="I31" i="16"/>
  <c r="H31" i="16"/>
  <c r="G31" i="16"/>
  <c r="F31" i="16"/>
  <c r="E31" i="16"/>
  <c r="D31" i="16"/>
  <c r="Q31" i="16" s="1"/>
  <c r="Q30" i="16"/>
  <c r="Q29" i="16"/>
  <c r="Q28" i="16"/>
  <c r="Q27" i="16"/>
  <c r="Q26" i="16"/>
  <c r="J26" i="16"/>
  <c r="H25" i="16"/>
  <c r="Q25" i="16" s="1"/>
  <c r="H23" i="16"/>
  <c r="G22" i="16"/>
  <c r="Q22" i="16" s="1"/>
  <c r="Q21" i="16"/>
  <c r="J21" i="16"/>
  <c r="F21" i="16"/>
  <c r="Q19" i="16"/>
  <c r="Q18" i="16"/>
  <c r="H18" i="16"/>
  <c r="G18" i="16"/>
  <c r="M17" i="16"/>
  <c r="M50" i="16" s="1"/>
  <c r="L17" i="16"/>
  <c r="L50" i="16" s="1"/>
  <c r="K17" i="16"/>
  <c r="K50" i="16" s="1"/>
  <c r="J17" i="16"/>
  <c r="J50" i="16" s="1"/>
  <c r="I17" i="16"/>
  <c r="I50" i="16" s="1"/>
  <c r="H17" i="16"/>
  <c r="H50" i="16" s="1"/>
  <c r="G17" i="16"/>
  <c r="G50" i="16" s="1"/>
  <c r="F17" i="16"/>
  <c r="F50" i="16" s="1"/>
  <c r="E17" i="16"/>
  <c r="E50" i="16" s="1"/>
  <c r="D17" i="16"/>
  <c r="D50" i="16" s="1"/>
  <c r="O14" i="16"/>
  <c r="O52" i="16" s="1"/>
  <c r="K14" i="16"/>
  <c r="K52" i="16" s="1"/>
  <c r="G14" i="16"/>
  <c r="G52" i="16" s="1"/>
  <c r="F14" i="16"/>
  <c r="F52" i="16" s="1"/>
  <c r="C14" i="16"/>
  <c r="C52" i="16" s="1"/>
  <c r="C53" i="16" s="1"/>
  <c r="Q13" i="16"/>
  <c r="Q12" i="16"/>
  <c r="H12" i="16"/>
  <c r="M11" i="16"/>
  <c r="M14" i="16" s="1"/>
  <c r="M52" i="16" s="1"/>
  <c r="L11" i="16"/>
  <c r="L14" i="16" s="1"/>
  <c r="L52" i="16" s="1"/>
  <c r="K11" i="16"/>
  <c r="J11" i="16"/>
  <c r="J14" i="16" s="1"/>
  <c r="J52" i="16" s="1"/>
  <c r="I11" i="16"/>
  <c r="I14" i="16" s="1"/>
  <c r="H11" i="16"/>
  <c r="H14" i="16" s="1"/>
  <c r="G11" i="16"/>
  <c r="F11" i="16"/>
  <c r="E11" i="16"/>
  <c r="E14" i="16" s="1"/>
  <c r="E52" i="16" s="1"/>
  <c r="D11" i="16"/>
  <c r="D14" i="16" s="1"/>
  <c r="D52" i="16" s="1"/>
  <c r="D53" i="16" s="1"/>
  <c r="D2" i="16" s="1"/>
  <c r="Q9" i="16"/>
  <c r="Q8" i="16"/>
  <c r="Q7" i="16"/>
  <c r="Q6" i="16"/>
  <c r="P2" i="16"/>
  <c r="M11" i="1"/>
  <c r="M39" i="1"/>
  <c r="M38" i="1"/>
  <c r="M36" i="1"/>
  <c r="M31" i="15"/>
  <c r="M31" i="1"/>
  <c r="M41" i="1"/>
  <c r="M17" i="1"/>
  <c r="M45" i="1"/>
  <c r="G52" i="17" l="1"/>
  <c r="O52" i="17"/>
  <c r="F52" i="17"/>
  <c r="Q14" i="17"/>
  <c r="H52" i="17"/>
  <c r="D50" i="17"/>
  <c r="Q50" i="17" s="1"/>
  <c r="Q11" i="17"/>
  <c r="O50" i="1"/>
  <c r="N50" i="1"/>
  <c r="N52" i="16"/>
  <c r="E53" i="16"/>
  <c r="E2" i="16" s="1"/>
  <c r="Q50" i="16"/>
  <c r="H52" i="16"/>
  <c r="I52" i="16"/>
  <c r="Q17" i="16"/>
  <c r="Q11" i="16"/>
  <c r="Q14" i="16"/>
  <c r="Q52" i="16" s="1"/>
  <c r="M38" i="15"/>
  <c r="M45" i="15"/>
  <c r="M36" i="15"/>
  <c r="O50" i="15"/>
  <c r="N50" i="15"/>
  <c r="C50" i="15"/>
  <c r="Q49" i="15"/>
  <c r="F49" i="15"/>
  <c r="Q48" i="15"/>
  <c r="E47" i="15"/>
  <c r="Q47" i="15" s="1"/>
  <c r="F46" i="15"/>
  <c r="Q46" i="15" s="1"/>
  <c r="L45" i="15"/>
  <c r="H45" i="15"/>
  <c r="Q45" i="15" s="1"/>
  <c r="E45" i="15"/>
  <c r="Q44" i="15"/>
  <c r="Q43" i="15"/>
  <c r="Q42" i="15"/>
  <c r="L41" i="15"/>
  <c r="K41" i="15"/>
  <c r="J41" i="15"/>
  <c r="I41" i="15"/>
  <c r="H41" i="15"/>
  <c r="G41" i="15"/>
  <c r="F41" i="15"/>
  <c r="E41" i="15"/>
  <c r="D41" i="15"/>
  <c r="K40" i="15"/>
  <c r="G40" i="15"/>
  <c r="F40" i="15"/>
  <c r="D40" i="15"/>
  <c r="M39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Q37" i="15"/>
  <c r="L36" i="15"/>
  <c r="K36" i="15"/>
  <c r="J36" i="15"/>
  <c r="I36" i="15"/>
  <c r="H36" i="15"/>
  <c r="G36" i="15"/>
  <c r="F36" i="15"/>
  <c r="E36" i="15"/>
  <c r="D36" i="15"/>
  <c r="Q34" i="15"/>
  <c r="Q33" i="15"/>
  <c r="Q32" i="15"/>
  <c r="L31" i="15"/>
  <c r="K31" i="15"/>
  <c r="J31" i="15"/>
  <c r="I31" i="15"/>
  <c r="H31" i="15"/>
  <c r="G31" i="15"/>
  <c r="F31" i="15"/>
  <c r="E31" i="15"/>
  <c r="D31" i="15"/>
  <c r="Q30" i="15"/>
  <c r="Q29" i="15"/>
  <c r="Q28" i="15"/>
  <c r="Q27" i="15"/>
  <c r="J26" i="15"/>
  <c r="Q26" i="15" s="1"/>
  <c r="Q25" i="15"/>
  <c r="H25" i="15"/>
  <c r="H23" i="15"/>
  <c r="G22" i="15"/>
  <c r="Q22" i="15" s="1"/>
  <c r="J21" i="15"/>
  <c r="F21" i="15"/>
  <c r="Q19" i="15"/>
  <c r="H18" i="15"/>
  <c r="G18" i="15"/>
  <c r="Q18" i="15" s="1"/>
  <c r="M17" i="15"/>
  <c r="L17" i="15"/>
  <c r="K17" i="15"/>
  <c r="J17" i="15"/>
  <c r="J50" i="15" s="1"/>
  <c r="I17" i="15"/>
  <c r="H17" i="15"/>
  <c r="G17" i="15"/>
  <c r="F17" i="15"/>
  <c r="E17" i="15"/>
  <c r="D17" i="15"/>
  <c r="O14" i="15"/>
  <c r="O52" i="15" s="1"/>
  <c r="N14" i="15"/>
  <c r="N52" i="15" s="1"/>
  <c r="M14" i="15"/>
  <c r="D14" i="15"/>
  <c r="C14" i="15"/>
  <c r="C52" i="15" s="1"/>
  <c r="C53" i="15" s="1"/>
  <c r="Q13" i="15"/>
  <c r="Q12" i="15"/>
  <c r="H12" i="15"/>
  <c r="L11" i="15"/>
  <c r="L14" i="15" s="1"/>
  <c r="K11" i="15"/>
  <c r="K14" i="15" s="1"/>
  <c r="J11" i="15"/>
  <c r="J14" i="15" s="1"/>
  <c r="I11" i="15"/>
  <c r="I14" i="15" s="1"/>
  <c r="H11" i="15"/>
  <c r="H14" i="15" s="1"/>
  <c r="G11" i="15"/>
  <c r="G14" i="15" s="1"/>
  <c r="F11" i="15"/>
  <c r="F14" i="15" s="1"/>
  <c r="E11" i="15"/>
  <c r="E14" i="15" s="1"/>
  <c r="D11" i="15"/>
  <c r="Q9" i="15"/>
  <c r="Q8" i="15"/>
  <c r="Q7" i="15"/>
  <c r="Q6" i="15"/>
  <c r="P2" i="15"/>
  <c r="L31" i="14"/>
  <c r="L17" i="14"/>
  <c r="L45" i="14"/>
  <c r="L41" i="14"/>
  <c r="L38" i="14"/>
  <c r="M14" i="1"/>
  <c r="M50" i="1"/>
  <c r="L36" i="1"/>
  <c r="Q52" i="17" l="1"/>
  <c r="D52" i="17"/>
  <c r="D53" i="17" s="1"/>
  <c r="F53" i="16"/>
  <c r="Q11" i="15"/>
  <c r="G50" i="15"/>
  <c r="G52" i="15" s="1"/>
  <c r="Q17" i="15"/>
  <c r="H50" i="15"/>
  <c r="K50" i="15"/>
  <c r="K52" i="15" s="1"/>
  <c r="I50" i="15"/>
  <c r="I52" i="15" s="1"/>
  <c r="Q21" i="15"/>
  <c r="D50" i="15"/>
  <c r="L50" i="15"/>
  <c r="Q41" i="15"/>
  <c r="H52" i="15"/>
  <c r="Q39" i="15"/>
  <c r="Q31" i="15"/>
  <c r="Q40" i="15"/>
  <c r="Q38" i="15"/>
  <c r="M50" i="15"/>
  <c r="M52" i="15" s="1"/>
  <c r="L52" i="15"/>
  <c r="J52" i="15"/>
  <c r="D52" i="15"/>
  <c r="D53" i="15" s="1"/>
  <c r="D2" i="15" s="1"/>
  <c r="E50" i="15"/>
  <c r="E52" i="15" s="1"/>
  <c r="E53" i="15" s="1"/>
  <c r="E2" i="15" s="1"/>
  <c r="Q36" i="15"/>
  <c r="F50" i="15"/>
  <c r="F52" i="15" s="1"/>
  <c r="Q14" i="15"/>
  <c r="L11" i="1"/>
  <c r="L38" i="1"/>
  <c r="L31" i="1"/>
  <c r="L17" i="1"/>
  <c r="L45" i="1"/>
  <c r="L41" i="1"/>
  <c r="L39" i="1"/>
  <c r="O50" i="14"/>
  <c r="N50" i="14"/>
  <c r="M50" i="14"/>
  <c r="L50" i="14"/>
  <c r="C50" i="14"/>
  <c r="F49" i="14"/>
  <c r="Q49" i="14" s="1"/>
  <c r="Q48" i="14"/>
  <c r="E47" i="14"/>
  <c r="Q47" i="14" s="1"/>
  <c r="F46" i="14"/>
  <c r="Q46" i="14" s="1"/>
  <c r="H45" i="14"/>
  <c r="E45" i="14"/>
  <c r="Q45" i="14" s="1"/>
  <c r="Q44" i="14"/>
  <c r="Q43" i="14"/>
  <c r="Q42" i="14"/>
  <c r="K41" i="14"/>
  <c r="J41" i="14"/>
  <c r="I41" i="14"/>
  <c r="H41" i="14"/>
  <c r="G41" i="14"/>
  <c r="F41" i="14"/>
  <c r="E41" i="14"/>
  <c r="D41" i="14"/>
  <c r="K40" i="14"/>
  <c r="G40" i="14"/>
  <c r="F40" i="14"/>
  <c r="D40" i="14"/>
  <c r="K39" i="14"/>
  <c r="J39" i="14"/>
  <c r="I39" i="14"/>
  <c r="H39" i="14"/>
  <c r="G39" i="14"/>
  <c r="F39" i="14"/>
  <c r="E39" i="14"/>
  <c r="D39" i="14"/>
  <c r="K38" i="14"/>
  <c r="J38" i="14"/>
  <c r="I38" i="14"/>
  <c r="H38" i="14"/>
  <c r="G38" i="14"/>
  <c r="F38" i="14"/>
  <c r="E38" i="14"/>
  <c r="D38" i="14"/>
  <c r="Q37" i="14"/>
  <c r="K36" i="14"/>
  <c r="J36" i="14"/>
  <c r="I36" i="14"/>
  <c r="H36" i="14"/>
  <c r="G36" i="14"/>
  <c r="F36" i="14"/>
  <c r="E36" i="14"/>
  <c r="D36" i="14"/>
  <c r="Q34" i="14"/>
  <c r="Q33" i="14"/>
  <c r="Q32" i="14"/>
  <c r="K31" i="14"/>
  <c r="J31" i="14"/>
  <c r="I31" i="14"/>
  <c r="H31" i="14"/>
  <c r="G31" i="14"/>
  <c r="F31" i="14"/>
  <c r="E31" i="14"/>
  <c r="D31" i="14"/>
  <c r="Q30" i="14"/>
  <c r="Q29" i="14"/>
  <c r="Q28" i="14"/>
  <c r="Q27" i="14"/>
  <c r="J26" i="14"/>
  <c r="Q26" i="14" s="1"/>
  <c r="H25" i="14"/>
  <c r="Q25" i="14" s="1"/>
  <c r="H23" i="14"/>
  <c r="G22" i="14"/>
  <c r="Q22" i="14" s="1"/>
  <c r="J21" i="14"/>
  <c r="F21" i="14"/>
  <c r="Q21" i="14" s="1"/>
  <c r="Q19" i="14"/>
  <c r="H18" i="14"/>
  <c r="G18" i="14"/>
  <c r="Q18" i="14" s="1"/>
  <c r="K17" i="14"/>
  <c r="J17" i="14"/>
  <c r="I17" i="14"/>
  <c r="H17" i="14"/>
  <c r="G17" i="14"/>
  <c r="F17" i="14"/>
  <c r="E17" i="14"/>
  <c r="D17" i="14"/>
  <c r="O14" i="14"/>
  <c r="O52" i="14" s="1"/>
  <c r="N14" i="14"/>
  <c r="N52" i="14" s="1"/>
  <c r="M14" i="14"/>
  <c r="M52" i="14" s="1"/>
  <c r="L14" i="14"/>
  <c r="J14" i="14"/>
  <c r="C14" i="14"/>
  <c r="Q13" i="14"/>
  <c r="H12" i="14"/>
  <c r="Q12" i="14" s="1"/>
  <c r="K11" i="14"/>
  <c r="K14" i="14" s="1"/>
  <c r="J11" i="14"/>
  <c r="I11" i="14"/>
  <c r="I14" i="14" s="1"/>
  <c r="H11" i="14"/>
  <c r="G11" i="14"/>
  <c r="G14" i="14" s="1"/>
  <c r="F11" i="14"/>
  <c r="F14" i="14" s="1"/>
  <c r="E11" i="14"/>
  <c r="E14" i="14" s="1"/>
  <c r="D11" i="14"/>
  <c r="Q9" i="14"/>
  <c r="Q8" i="14"/>
  <c r="Q7" i="14"/>
  <c r="Q6" i="14"/>
  <c r="P2" i="14"/>
  <c r="K41" i="13"/>
  <c r="K40" i="13"/>
  <c r="K39" i="13"/>
  <c r="K38" i="13"/>
  <c r="K36" i="13"/>
  <c r="K11" i="13"/>
  <c r="K11" i="1"/>
  <c r="K41" i="1"/>
  <c r="K39" i="1"/>
  <c r="K38" i="1"/>
  <c r="K31" i="1"/>
  <c r="K17" i="1"/>
  <c r="K36" i="1"/>
  <c r="K40" i="1"/>
  <c r="D2" i="17" l="1"/>
  <c r="E53" i="17"/>
  <c r="F2" i="16"/>
  <c r="G53" i="16"/>
  <c r="C52" i="14"/>
  <c r="C53" i="14" s="1"/>
  <c r="I52" i="14"/>
  <c r="I50" i="14"/>
  <c r="J50" i="14"/>
  <c r="F53" i="15"/>
  <c r="F2" i="15" s="1"/>
  <c r="G53" i="15"/>
  <c r="Q50" i="15"/>
  <c r="Q52" i="15" s="1"/>
  <c r="Q41" i="14"/>
  <c r="Q17" i="14"/>
  <c r="Q11" i="14"/>
  <c r="K50" i="14"/>
  <c r="K52" i="14" s="1"/>
  <c r="E50" i="14"/>
  <c r="E52" i="14" s="1"/>
  <c r="Q38" i="14"/>
  <c r="Q39" i="14"/>
  <c r="Q40" i="14"/>
  <c r="Q31" i="14"/>
  <c r="Q36" i="14"/>
  <c r="G50" i="14"/>
  <c r="G52" i="14" s="1"/>
  <c r="H50" i="14"/>
  <c r="F50" i="14"/>
  <c r="F52" i="14" s="1"/>
  <c r="L52" i="14"/>
  <c r="J52" i="14"/>
  <c r="D50" i="14"/>
  <c r="Q50" i="14" s="1"/>
  <c r="D14" i="14"/>
  <c r="H14" i="14"/>
  <c r="H52" i="14" s="1"/>
  <c r="J21" i="12"/>
  <c r="J41" i="12"/>
  <c r="J39" i="12"/>
  <c r="J38" i="12"/>
  <c r="J36" i="12"/>
  <c r="J31" i="12"/>
  <c r="O50" i="13"/>
  <c r="N50" i="13"/>
  <c r="M50" i="13"/>
  <c r="L50" i="13"/>
  <c r="C50" i="13"/>
  <c r="F49" i="13"/>
  <c r="Q49" i="13" s="1"/>
  <c r="Q48" i="13"/>
  <c r="Q47" i="13"/>
  <c r="E47" i="13"/>
  <c r="F46" i="13"/>
  <c r="Q46" i="13" s="1"/>
  <c r="H45" i="13"/>
  <c r="Q45" i="13" s="1"/>
  <c r="E45" i="13"/>
  <c r="Q44" i="13"/>
  <c r="Q43" i="13"/>
  <c r="Q42" i="13"/>
  <c r="J41" i="13"/>
  <c r="I41" i="13"/>
  <c r="H41" i="13"/>
  <c r="G41" i="13"/>
  <c r="F41" i="13"/>
  <c r="E41" i="13"/>
  <c r="D41" i="13"/>
  <c r="G40" i="13"/>
  <c r="Q40" i="13" s="1"/>
  <c r="F40" i="13"/>
  <c r="D40" i="13"/>
  <c r="J39" i="13"/>
  <c r="I39" i="13"/>
  <c r="H39" i="13"/>
  <c r="G39" i="13"/>
  <c r="F39" i="13"/>
  <c r="E39" i="13"/>
  <c r="D39" i="13"/>
  <c r="J38" i="13"/>
  <c r="I38" i="13"/>
  <c r="H38" i="13"/>
  <c r="G38" i="13"/>
  <c r="F38" i="13"/>
  <c r="E38" i="13"/>
  <c r="D38" i="13"/>
  <c r="Q38" i="13" s="1"/>
  <c r="Q37" i="13"/>
  <c r="J36" i="13"/>
  <c r="I36" i="13"/>
  <c r="H36" i="13"/>
  <c r="G36" i="13"/>
  <c r="F36" i="13"/>
  <c r="E36" i="13"/>
  <c r="D36" i="13"/>
  <c r="Q36" i="13" s="1"/>
  <c r="Q34" i="13"/>
  <c r="Q33" i="13"/>
  <c r="Q32" i="13"/>
  <c r="K31" i="13"/>
  <c r="J31" i="13"/>
  <c r="I31" i="13"/>
  <c r="H31" i="13"/>
  <c r="G31" i="13"/>
  <c r="F31" i="13"/>
  <c r="E31" i="13"/>
  <c r="D31" i="13"/>
  <c r="Q30" i="13"/>
  <c r="Q29" i="13"/>
  <c r="Q28" i="13"/>
  <c r="Q27" i="13"/>
  <c r="J26" i="13"/>
  <c r="Q26" i="13" s="1"/>
  <c r="H25" i="13"/>
  <c r="Q25" i="13" s="1"/>
  <c r="H23" i="13"/>
  <c r="Q22" i="13"/>
  <c r="G22" i="13"/>
  <c r="J21" i="13"/>
  <c r="F21" i="13"/>
  <c r="Q21" i="13" s="1"/>
  <c r="Q19" i="13"/>
  <c r="Q18" i="13"/>
  <c r="H18" i="13"/>
  <c r="G18" i="13"/>
  <c r="K17" i="13"/>
  <c r="K50" i="13" s="1"/>
  <c r="J17" i="13"/>
  <c r="I17" i="13"/>
  <c r="H17" i="13"/>
  <c r="G17" i="13"/>
  <c r="F17" i="13"/>
  <c r="F50" i="13" s="1"/>
  <c r="E17" i="13"/>
  <c r="D17" i="13"/>
  <c r="D50" i="13" s="1"/>
  <c r="O14" i="13"/>
  <c r="N14" i="13"/>
  <c r="M14" i="13"/>
  <c r="M52" i="13" s="1"/>
  <c r="L14" i="13"/>
  <c r="F14" i="13"/>
  <c r="D14" i="13"/>
  <c r="C14" i="13"/>
  <c r="C52" i="13" s="1"/>
  <c r="C53" i="13" s="1"/>
  <c r="Q13" i="13"/>
  <c r="H12" i="13"/>
  <c r="Q12" i="13" s="1"/>
  <c r="K14" i="13"/>
  <c r="J11" i="13"/>
  <c r="J14" i="13" s="1"/>
  <c r="I11" i="13"/>
  <c r="I14" i="13" s="1"/>
  <c r="H11" i="13"/>
  <c r="G11" i="13"/>
  <c r="G14" i="13" s="1"/>
  <c r="F11" i="13"/>
  <c r="E11" i="13"/>
  <c r="E14" i="13" s="1"/>
  <c r="D11" i="13"/>
  <c r="Q9" i="13"/>
  <c r="Q8" i="13"/>
  <c r="Q7" i="13"/>
  <c r="Q6" i="13"/>
  <c r="P2" i="13"/>
  <c r="K50" i="1"/>
  <c r="L50" i="1"/>
  <c r="J38" i="1"/>
  <c r="J11" i="1"/>
  <c r="J26" i="1"/>
  <c r="J31" i="1"/>
  <c r="J21" i="1"/>
  <c r="J39" i="1"/>
  <c r="J36" i="1"/>
  <c r="J41" i="1"/>
  <c r="J17" i="1"/>
  <c r="J50" i="1" s="1"/>
  <c r="O50" i="12"/>
  <c r="O52" i="12" s="1"/>
  <c r="N50" i="12"/>
  <c r="N52" i="12" s="1"/>
  <c r="M50" i="12"/>
  <c r="L50" i="12"/>
  <c r="K50" i="12"/>
  <c r="C50" i="12"/>
  <c r="F49" i="12"/>
  <c r="Q49" i="12" s="1"/>
  <c r="Q48" i="12"/>
  <c r="Q47" i="12"/>
  <c r="E47" i="12"/>
  <c r="F46" i="12"/>
  <c r="Q46" i="12" s="1"/>
  <c r="H45" i="12"/>
  <c r="E45" i="12"/>
  <c r="Q45" i="12" s="1"/>
  <c r="Q44" i="12"/>
  <c r="Q43" i="12"/>
  <c r="Q42" i="12"/>
  <c r="I41" i="12"/>
  <c r="H41" i="12"/>
  <c r="G41" i="12"/>
  <c r="F41" i="12"/>
  <c r="E41" i="12"/>
  <c r="D41" i="12"/>
  <c r="G40" i="12"/>
  <c r="F40" i="12"/>
  <c r="D40" i="12"/>
  <c r="I39" i="12"/>
  <c r="H39" i="12"/>
  <c r="G39" i="12"/>
  <c r="F39" i="12"/>
  <c r="E39" i="12"/>
  <c r="D39" i="12"/>
  <c r="Q39" i="12" s="1"/>
  <c r="I38" i="12"/>
  <c r="H38" i="12"/>
  <c r="G38" i="12"/>
  <c r="F38" i="12"/>
  <c r="E38" i="12"/>
  <c r="D38" i="12"/>
  <c r="Q37" i="12"/>
  <c r="I36" i="12"/>
  <c r="H36" i="12"/>
  <c r="G36" i="12"/>
  <c r="F36" i="12"/>
  <c r="E36" i="12"/>
  <c r="D36" i="12"/>
  <c r="Q34" i="12"/>
  <c r="Q33" i="12"/>
  <c r="Q32" i="12"/>
  <c r="I31" i="12"/>
  <c r="H31" i="12"/>
  <c r="G31" i="12"/>
  <c r="F31" i="12"/>
  <c r="E31" i="12"/>
  <c r="D31" i="12"/>
  <c r="Q30" i="12"/>
  <c r="Q29" i="12"/>
  <c r="Q28" i="12"/>
  <c r="Q27" i="12"/>
  <c r="Q26" i="12"/>
  <c r="H25" i="12"/>
  <c r="Q25" i="12" s="1"/>
  <c r="H23" i="12"/>
  <c r="G22" i="12"/>
  <c r="Q22" i="12" s="1"/>
  <c r="F21" i="12"/>
  <c r="Q21" i="12" s="1"/>
  <c r="Q19" i="12"/>
  <c r="H18" i="12"/>
  <c r="G18" i="12"/>
  <c r="I17" i="12"/>
  <c r="H17" i="12"/>
  <c r="G17" i="12"/>
  <c r="F17" i="12"/>
  <c r="E17" i="12"/>
  <c r="E50" i="12" s="1"/>
  <c r="D17" i="12"/>
  <c r="Q17" i="12" s="1"/>
  <c r="O14" i="12"/>
  <c r="N14" i="12"/>
  <c r="M14" i="12"/>
  <c r="M52" i="12" s="1"/>
  <c r="L14" i="12"/>
  <c r="L52" i="12" s="1"/>
  <c r="K14" i="12"/>
  <c r="K52" i="12" s="1"/>
  <c r="J14" i="12"/>
  <c r="I14" i="12"/>
  <c r="C14" i="12"/>
  <c r="Q13" i="12"/>
  <c r="H12" i="12"/>
  <c r="I11" i="12"/>
  <c r="H11" i="12"/>
  <c r="G11" i="12"/>
  <c r="G14" i="12" s="1"/>
  <c r="F11" i="12"/>
  <c r="F14" i="12" s="1"/>
  <c r="E11" i="12"/>
  <c r="E14" i="12" s="1"/>
  <c r="E52" i="12" s="1"/>
  <c r="D11" i="12"/>
  <c r="Q9" i="12"/>
  <c r="Q8" i="12"/>
  <c r="Q7" i="12"/>
  <c r="Q6" i="12"/>
  <c r="P2" i="12"/>
  <c r="I38" i="1"/>
  <c r="I11" i="1"/>
  <c r="I31" i="1"/>
  <c r="I41" i="11"/>
  <c r="I31" i="11"/>
  <c r="I17" i="11"/>
  <c r="H38" i="1"/>
  <c r="I17" i="1"/>
  <c r="I36" i="1"/>
  <c r="I41" i="1"/>
  <c r="I39" i="1"/>
  <c r="I36" i="11"/>
  <c r="E2" i="17" l="1"/>
  <c r="F53" i="17"/>
  <c r="G2" i="16"/>
  <c r="H53" i="16"/>
  <c r="Q38" i="12"/>
  <c r="H50" i="12"/>
  <c r="Q36" i="12"/>
  <c r="N52" i="13"/>
  <c r="J50" i="13"/>
  <c r="J52" i="13" s="1"/>
  <c r="G50" i="13"/>
  <c r="G52" i="13" s="1"/>
  <c r="H50" i="13"/>
  <c r="Q41" i="13"/>
  <c r="H14" i="12"/>
  <c r="I50" i="12"/>
  <c r="I52" i="12" s="1"/>
  <c r="Q11" i="13"/>
  <c r="O52" i="13"/>
  <c r="Q31" i="13"/>
  <c r="I50" i="1"/>
  <c r="F50" i="12"/>
  <c r="Q31" i="12"/>
  <c r="Q12" i="12"/>
  <c r="Q17" i="13"/>
  <c r="D52" i="13"/>
  <c r="D53" i="13" s="1"/>
  <c r="D2" i="13" s="1"/>
  <c r="F52" i="12"/>
  <c r="G50" i="12"/>
  <c r="G52" i="12" s="1"/>
  <c r="I50" i="13"/>
  <c r="I52" i="13" s="1"/>
  <c r="Q11" i="12"/>
  <c r="Q18" i="12"/>
  <c r="Q40" i="12"/>
  <c r="E50" i="13"/>
  <c r="E52" i="13" s="1"/>
  <c r="E53" i="13" s="1"/>
  <c r="E2" i="13" s="1"/>
  <c r="Q39" i="13"/>
  <c r="G2" i="15"/>
  <c r="H53" i="15"/>
  <c r="D52" i="14"/>
  <c r="D53" i="14" s="1"/>
  <c r="Q14" i="14"/>
  <c r="Q52" i="14" s="1"/>
  <c r="K52" i="13"/>
  <c r="L52" i="13"/>
  <c r="J50" i="12"/>
  <c r="Q50" i="12" s="1"/>
  <c r="Q41" i="12"/>
  <c r="F52" i="13"/>
  <c r="H14" i="13"/>
  <c r="H52" i="13" s="1"/>
  <c r="Q14" i="13"/>
  <c r="J52" i="12"/>
  <c r="H52" i="12"/>
  <c r="D14" i="12"/>
  <c r="D50" i="12"/>
  <c r="C52" i="12"/>
  <c r="C53" i="12" s="1"/>
  <c r="I18" i="11"/>
  <c r="I50" i="11" s="1"/>
  <c r="N52" i="11"/>
  <c r="O50" i="11"/>
  <c r="N50" i="11"/>
  <c r="M50" i="11"/>
  <c r="L50" i="11"/>
  <c r="K50" i="11"/>
  <c r="J50" i="11"/>
  <c r="C50" i="11"/>
  <c r="F49" i="11"/>
  <c r="Q49" i="11" s="1"/>
  <c r="Q48" i="11"/>
  <c r="E47" i="11"/>
  <c r="Q47" i="11" s="1"/>
  <c r="F46" i="11"/>
  <c r="Q46" i="11" s="1"/>
  <c r="H45" i="11"/>
  <c r="E45" i="11"/>
  <c r="Q44" i="11"/>
  <c r="Q43" i="11"/>
  <c r="Q42" i="11"/>
  <c r="H41" i="11"/>
  <c r="G41" i="11"/>
  <c r="F41" i="11"/>
  <c r="E41" i="11"/>
  <c r="D41" i="11"/>
  <c r="G40" i="11"/>
  <c r="F40" i="11"/>
  <c r="D40" i="11"/>
  <c r="H39" i="11"/>
  <c r="G39" i="11"/>
  <c r="F39" i="11"/>
  <c r="E39" i="11"/>
  <c r="D39" i="11"/>
  <c r="H38" i="11"/>
  <c r="Q38" i="11" s="1"/>
  <c r="G38" i="11"/>
  <c r="F38" i="11"/>
  <c r="E38" i="11"/>
  <c r="D38" i="11"/>
  <c r="Q37" i="11"/>
  <c r="H36" i="11"/>
  <c r="G36" i="11"/>
  <c r="F36" i="11"/>
  <c r="E36" i="11"/>
  <c r="D36" i="11"/>
  <c r="Q34" i="11"/>
  <c r="Q33" i="11"/>
  <c r="Q32" i="11"/>
  <c r="H31" i="11"/>
  <c r="G31" i="11"/>
  <c r="F31" i="11"/>
  <c r="E31" i="11"/>
  <c r="E50" i="11" s="1"/>
  <c r="D31" i="11"/>
  <c r="Q30" i="11"/>
  <c r="Q29" i="11"/>
  <c r="Q28" i="11"/>
  <c r="Q27" i="11"/>
  <c r="Q26" i="11"/>
  <c r="H25" i="11"/>
  <c r="Q25" i="11" s="1"/>
  <c r="H23" i="11"/>
  <c r="G22" i="11"/>
  <c r="Q22" i="11" s="1"/>
  <c r="F21" i="11"/>
  <c r="Q21" i="11" s="1"/>
  <c r="Q19" i="11"/>
  <c r="H18" i="11"/>
  <c r="Q18" i="11" s="1"/>
  <c r="G18" i="11"/>
  <c r="H17" i="11"/>
  <c r="G17" i="11"/>
  <c r="F17" i="11"/>
  <c r="F50" i="11" s="1"/>
  <c r="E17" i="11"/>
  <c r="D17" i="11"/>
  <c r="O14" i="11"/>
  <c r="O52" i="11" s="1"/>
  <c r="N14" i="11"/>
  <c r="M14" i="11"/>
  <c r="L14" i="11"/>
  <c r="L52" i="11" s="1"/>
  <c r="K14" i="11"/>
  <c r="K52" i="11" s="1"/>
  <c r="J14" i="11"/>
  <c r="J52" i="11" s="1"/>
  <c r="I14" i="11"/>
  <c r="C14" i="11"/>
  <c r="Q13" i="11"/>
  <c r="H12" i="11"/>
  <c r="Q12" i="11" s="1"/>
  <c r="H11" i="11"/>
  <c r="H14" i="11" s="1"/>
  <c r="G11" i="11"/>
  <c r="G14" i="11" s="1"/>
  <c r="F11" i="11"/>
  <c r="F14" i="11" s="1"/>
  <c r="E11" i="11"/>
  <c r="E14" i="11" s="1"/>
  <c r="D11" i="11"/>
  <c r="Q9" i="11"/>
  <c r="Q8" i="11"/>
  <c r="Q7" i="11"/>
  <c r="Q6" i="11"/>
  <c r="P2" i="11"/>
  <c r="H11" i="1"/>
  <c r="H17" i="1"/>
  <c r="H36" i="1"/>
  <c r="H31" i="1"/>
  <c r="H18" i="1"/>
  <c r="H23" i="1"/>
  <c r="H41" i="1"/>
  <c r="H25" i="1"/>
  <c r="H30" i="10"/>
  <c r="H17" i="10"/>
  <c r="H12" i="1"/>
  <c r="H45" i="1"/>
  <c r="H39" i="1"/>
  <c r="H38" i="10"/>
  <c r="O49" i="10"/>
  <c r="N49" i="10"/>
  <c r="M49" i="10"/>
  <c r="L49" i="10"/>
  <c r="K49" i="10"/>
  <c r="J49" i="10"/>
  <c r="I49" i="10"/>
  <c r="C49" i="10"/>
  <c r="F48" i="10"/>
  <c r="Q48" i="10" s="1"/>
  <c r="Q47" i="10"/>
  <c r="E46" i="10"/>
  <c r="Q46" i="10" s="1"/>
  <c r="F45" i="10"/>
  <c r="Q45" i="10" s="1"/>
  <c r="E44" i="10"/>
  <c r="Q44" i="10" s="1"/>
  <c r="Q43" i="10"/>
  <c r="Q42" i="10"/>
  <c r="Q41" i="10"/>
  <c r="G40" i="10"/>
  <c r="F40" i="10"/>
  <c r="E40" i="10"/>
  <c r="D40" i="10"/>
  <c r="G39" i="10"/>
  <c r="F39" i="10"/>
  <c r="D39" i="10"/>
  <c r="G38" i="10"/>
  <c r="F38" i="10"/>
  <c r="E38" i="10"/>
  <c r="D38" i="10"/>
  <c r="G37" i="10"/>
  <c r="F37" i="10"/>
  <c r="E37" i="10"/>
  <c r="D37" i="10"/>
  <c r="Q36" i="10"/>
  <c r="G35" i="10"/>
  <c r="F35" i="10"/>
  <c r="E35" i="10"/>
  <c r="D35" i="10"/>
  <c r="Q33" i="10"/>
  <c r="Q32" i="10"/>
  <c r="Q31" i="10"/>
  <c r="G30" i="10"/>
  <c r="F30" i="10"/>
  <c r="E30" i="10"/>
  <c r="Q30" i="10" s="1"/>
  <c r="D30" i="10"/>
  <c r="Q29" i="10"/>
  <c r="Q28" i="10"/>
  <c r="Q27" i="10"/>
  <c r="Q26" i="10"/>
  <c r="Q25" i="10"/>
  <c r="Q24" i="10"/>
  <c r="Q22" i="10"/>
  <c r="G22" i="10"/>
  <c r="F21" i="10"/>
  <c r="Q21" i="10" s="1"/>
  <c r="Q19" i="10"/>
  <c r="G18" i="10"/>
  <c r="Q18" i="10" s="1"/>
  <c r="G17" i="10"/>
  <c r="F17" i="10"/>
  <c r="E17" i="10"/>
  <c r="D17" i="10"/>
  <c r="Q17" i="10" s="1"/>
  <c r="O14" i="10"/>
  <c r="N14" i="10"/>
  <c r="M14" i="10"/>
  <c r="L14" i="10"/>
  <c r="K14" i="10"/>
  <c r="J14" i="10"/>
  <c r="J51" i="10" s="1"/>
  <c r="I14" i="10"/>
  <c r="H14" i="10"/>
  <c r="C14" i="10"/>
  <c r="C51" i="10" s="1"/>
  <c r="C52" i="10" s="1"/>
  <c r="Q13" i="10"/>
  <c r="Q12" i="10"/>
  <c r="G11" i="10"/>
  <c r="G14" i="10" s="1"/>
  <c r="F11" i="10"/>
  <c r="F14" i="10" s="1"/>
  <c r="E11" i="10"/>
  <c r="E14" i="10" s="1"/>
  <c r="D11" i="10"/>
  <c r="D14" i="10" s="1"/>
  <c r="Q9" i="10"/>
  <c r="Q8" i="10"/>
  <c r="Q7" i="10"/>
  <c r="Q6" i="10"/>
  <c r="P2" i="10"/>
  <c r="G41" i="1"/>
  <c r="G40" i="1"/>
  <c r="G17" i="1"/>
  <c r="G11" i="1"/>
  <c r="G31" i="1"/>
  <c r="G38" i="1"/>
  <c r="G18" i="1"/>
  <c r="G39" i="8"/>
  <c r="G22" i="8"/>
  <c r="F17" i="1"/>
  <c r="G36" i="1"/>
  <c r="G22" i="1"/>
  <c r="G39" i="1"/>
  <c r="F2" i="17" l="1"/>
  <c r="G53" i="17"/>
  <c r="H2" i="16"/>
  <c r="I53" i="16"/>
  <c r="H52" i="11"/>
  <c r="H50" i="11"/>
  <c r="Q39" i="11"/>
  <c r="Q45" i="11"/>
  <c r="E49" i="10"/>
  <c r="E51" i="10" s="1"/>
  <c r="K51" i="10"/>
  <c r="G49" i="10"/>
  <c r="G51" i="10" s="1"/>
  <c r="Q37" i="10"/>
  <c r="M52" i="11"/>
  <c r="Q31" i="11"/>
  <c r="G50" i="11"/>
  <c r="F53" i="13"/>
  <c r="F2" i="13" s="1"/>
  <c r="Q50" i="13"/>
  <c r="Q11" i="11"/>
  <c r="D14" i="11"/>
  <c r="Q14" i="11" s="1"/>
  <c r="E52" i="11"/>
  <c r="Q17" i="11"/>
  <c r="Q41" i="11"/>
  <c r="O51" i="10"/>
  <c r="Q38" i="10"/>
  <c r="F52" i="11"/>
  <c r="Q36" i="11"/>
  <c r="D50" i="11"/>
  <c r="Q50" i="11" s="1"/>
  <c r="H2" i="15"/>
  <c r="I53" i="15"/>
  <c r="D2" i="14"/>
  <c r="E53" i="14"/>
  <c r="G53" i="13"/>
  <c r="G2" i="13" s="1"/>
  <c r="Q52" i="13"/>
  <c r="D52" i="12"/>
  <c r="D53" i="12" s="1"/>
  <c r="Q14" i="12"/>
  <c r="Q52" i="12" s="1"/>
  <c r="I52" i="11"/>
  <c r="G52" i="11"/>
  <c r="Q40" i="11"/>
  <c r="C52" i="11"/>
  <c r="C53" i="11" s="1"/>
  <c r="L51" i="10"/>
  <c r="M51" i="10"/>
  <c r="F49" i="10"/>
  <c r="N51" i="10"/>
  <c r="I51" i="10"/>
  <c r="Q39" i="10"/>
  <c r="F51" i="10"/>
  <c r="D49" i="10"/>
  <c r="D51" i="10" s="1"/>
  <c r="D52" i="10" s="1"/>
  <c r="D2" i="10" s="1"/>
  <c r="Q35" i="10"/>
  <c r="Q40" i="10"/>
  <c r="H49" i="10"/>
  <c r="Q14" i="10"/>
  <c r="Q11" i="10"/>
  <c r="J49" i="9"/>
  <c r="O47" i="9"/>
  <c r="N47" i="9"/>
  <c r="M47" i="9"/>
  <c r="L47" i="9"/>
  <c r="K47" i="9"/>
  <c r="J47" i="9"/>
  <c r="I47" i="9"/>
  <c r="H47" i="9"/>
  <c r="G47" i="9"/>
  <c r="C47" i="9"/>
  <c r="Q46" i="9"/>
  <c r="F46" i="9"/>
  <c r="Q45" i="9"/>
  <c r="E44" i="9"/>
  <c r="Q44" i="9" s="1"/>
  <c r="F43" i="9"/>
  <c r="Q43" i="9" s="1"/>
  <c r="E42" i="9"/>
  <c r="Q42" i="9" s="1"/>
  <c r="Q41" i="9"/>
  <c r="Q40" i="9"/>
  <c r="Q39" i="9"/>
  <c r="F38" i="9"/>
  <c r="E38" i="9"/>
  <c r="D38" i="9"/>
  <c r="F37" i="9"/>
  <c r="D37" i="9"/>
  <c r="F36" i="9"/>
  <c r="E36" i="9"/>
  <c r="D36" i="9"/>
  <c r="F35" i="9"/>
  <c r="E35" i="9"/>
  <c r="D35" i="9"/>
  <c r="Q35" i="9" s="1"/>
  <c r="Q34" i="9"/>
  <c r="F33" i="9"/>
  <c r="E33" i="9"/>
  <c r="Q33" i="9" s="1"/>
  <c r="D33" i="9"/>
  <c r="Q32" i="9"/>
  <c r="Q31" i="9"/>
  <c r="Q30" i="9"/>
  <c r="F29" i="9"/>
  <c r="E29" i="9"/>
  <c r="D29" i="9"/>
  <c r="Q28" i="9"/>
  <c r="Q27" i="9"/>
  <c r="Q26" i="9"/>
  <c r="Q25" i="9"/>
  <c r="Q24" i="9"/>
  <c r="Q23" i="9"/>
  <c r="Q22" i="9"/>
  <c r="F21" i="9"/>
  <c r="Q21" i="9" s="1"/>
  <c r="Q19" i="9"/>
  <c r="Q18" i="9"/>
  <c r="F17" i="9"/>
  <c r="E17" i="9"/>
  <c r="D17" i="9"/>
  <c r="Q17" i="9" s="1"/>
  <c r="O14" i="9"/>
  <c r="O49" i="9" s="1"/>
  <c r="N14" i="9"/>
  <c r="N49" i="9" s="1"/>
  <c r="M14" i="9"/>
  <c r="M49" i="9" s="1"/>
  <c r="L14" i="9"/>
  <c r="L49" i="9" s="1"/>
  <c r="K14" i="9"/>
  <c r="K49" i="9" s="1"/>
  <c r="J14" i="9"/>
  <c r="I14" i="9"/>
  <c r="I49" i="9" s="1"/>
  <c r="H14" i="9"/>
  <c r="G14" i="9"/>
  <c r="G49" i="9" s="1"/>
  <c r="D14" i="9"/>
  <c r="C14" i="9"/>
  <c r="Q13" i="9"/>
  <c r="Q12" i="9"/>
  <c r="F11" i="9"/>
  <c r="F14" i="9" s="1"/>
  <c r="E11" i="9"/>
  <c r="E14" i="9" s="1"/>
  <c r="D11" i="9"/>
  <c r="Q9" i="9"/>
  <c r="Q8" i="9"/>
  <c r="Q7" i="9"/>
  <c r="Q6" i="9"/>
  <c r="P2" i="9"/>
  <c r="F17" i="8"/>
  <c r="O48" i="8"/>
  <c r="N48" i="8"/>
  <c r="M48" i="8"/>
  <c r="L48" i="8"/>
  <c r="K48" i="8"/>
  <c r="J48" i="8"/>
  <c r="I48" i="8"/>
  <c r="H48" i="8"/>
  <c r="G48" i="8"/>
  <c r="C48" i="8"/>
  <c r="F47" i="8"/>
  <c r="Q47" i="8" s="1"/>
  <c r="Q46" i="8"/>
  <c r="E45" i="8"/>
  <c r="Q45" i="8" s="1"/>
  <c r="F44" i="8"/>
  <c r="Q44" i="8" s="1"/>
  <c r="E43" i="8"/>
  <c r="Q43" i="8" s="1"/>
  <c r="Q42" i="8"/>
  <c r="Q41" i="8"/>
  <c r="Q40" i="8"/>
  <c r="F39" i="8"/>
  <c r="E39" i="8"/>
  <c r="D39" i="8"/>
  <c r="F38" i="8"/>
  <c r="D38" i="8"/>
  <c r="Q38" i="8" s="1"/>
  <c r="F37" i="8"/>
  <c r="E37" i="8"/>
  <c r="D37" i="8"/>
  <c r="F36" i="8"/>
  <c r="E36" i="8"/>
  <c r="D36" i="8"/>
  <c r="Q35" i="8"/>
  <c r="F34" i="8"/>
  <c r="E34" i="8"/>
  <c r="D34" i="8"/>
  <c r="Q33" i="8"/>
  <c r="Q32" i="8"/>
  <c r="Q31" i="8"/>
  <c r="F30" i="8"/>
  <c r="E30" i="8"/>
  <c r="D30" i="8"/>
  <c r="Q30" i="8" s="1"/>
  <c r="Q29" i="8"/>
  <c r="Q28" i="8"/>
  <c r="Q27" i="8"/>
  <c r="Q26" i="8"/>
  <c r="Q25" i="8"/>
  <c r="Q24" i="8"/>
  <c r="Q22" i="8"/>
  <c r="F21" i="8"/>
  <c r="Q19" i="8"/>
  <c r="Q18" i="8"/>
  <c r="E17" i="8"/>
  <c r="D17" i="8"/>
  <c r="O14" i="8"/>
  <c r="N14" i="8"/>
  <c r="N50" i="8" s="1"/>
  <c r="M14" i="8"/>
  <c r="M50" i="8" s="1"/>
  <c r="L14" i="8"/>
  <c r="L50" i="8" s="1"/>
  <c r="K14" i="8"/>
  <c r="J14" i="8"/>
  <c r="I14" i="8"/>
  <c r="H14" i="8"/>
  <c r="G14" i="8"/>
  <c r="C14" i="8"/>
  <c r="C50" i="8" s="1"/>
  <c r="C51" i="8" s="1"/>
  <c r="Q13" i="8"/>
  <c r="Q12" i="8"/>
  <c r="F11" i="8"/>
  <c r="F14" i="8" s="1"/>
  <c r="E11" i="8"/>
  <c r="E14" i="8" s="1"/>
  <c r="D11" i="8"/>
  <c r="D14" i="8" s="1"/>
  <c r="Q9" i="8"/>
  <c r="Q8" i="8"/>
  <c r="Q7" i="8"/>
  <c r="Q6" i="8"/>
  <c r="P2" i="8"/>
  <c r="F11" i="1"/>
  <c r="F14" i="1" s="1"/>
  <c r="F36" i="1"/>
  <c r="F38" i="1"/>
  <c r="F31" i="1"/>
  <c r="F46" i="1"/>
  <c r="F49" i="1"/>
  <c r="F21" i="1"/>
  <c r="F41" i="1"/>
  <c r="F39" i="1"/>
  <c r="G50" i="1"/>
  <c r="H50" i="1"/>
  <c r="G14" i="1"/>
  <c r="H14" i="1"/>
  <c r="I14" i="1"/>
  <c r="J14" i="1"/>
  <c r="K14" i="1"/>
  <c r="L14" i="1"/>
  <c r="F40" i="1"/>
  <c r="E38" i="1"/>
  <c r="E17" i="1"/>
  <c r="E31" i="1"/>
  <c r="E41" i="1"/>
  <c r="E39" i="1"/>
  <c r="E11" i="1"/>
  <c r="E14" i="1" s="1"/>
  <c r="E32" i="5"/>
  <c r="E35" i="5"/>
  <c r="E34" i="5"/>
  <c r="E17" i="5"/>
  <c r="O46" i="5"/>
  <c r="N46" i="5"/>
  <c r="M46" i="5"/>
  <c r="L46" i="5"/>
  <c r="K46" i="5"/>
  <c r="J46" i="5"/>
  <c r="I46" i="5"/>
  <c r="H46" i="5"/>
  <c r="G46" i="5"/>
  <c r="F46" i="5"/>
  <c r="C46" i="5"/>
  <c r="Q45" i="5"/>
  <c r="Q44" i="5"/>
  <c r="E43" i="5"/>
  <c r="Q43" i="5" s="1"/>
  <c r="Q42" i="5"/>
  <c r="E41" i="5"/>
  <c r="Q41" i="5" s="1"/>
  <c r="Q40" i="5"/>
  <c r="Q39" i="5"/>
  <c r="Q38" i="5"/>
  <c r="E37" i="5"/>
  <c r="Q37" i="5" s="1"/>
  <c r="D37" i="5"/>
  <c r="D36" i="5"/>
  <c r="Q36" i="5" s="1"/>
  <c r="D35" i="5"/>
  <c r="Q35" i="5" s="1"/>
  <c r="D34" i="5"/>
  <c r="Q34" i="5" s="1"/>
  <c r="Q33" i="5"/>
  <c r="D32" i="5"/>
  <c r="Q32" i="5" s="1"/>
  <c r="Q31" i="5"/>
  <c r="Q30" i="5"/>
  <c r="Q29" i="5"/>
  <c r="E28" i="5"/>
  <c r="D28" i="5"/>
  <c r="Q27" i="5"/>
  <c r="Q26" i="5"/>
  <c r="Q25" i="5"/>
  <c r="Q24" i="5"/>
  <c r="Q23" i="5"/>
  <c r="Q22" i="5"/>
  <c r="Q21" i="5"/>
  <c r="Q20" i="5"/>
  <c r="Q19" i="5"/>
  <c r="Q18" i="5"/>
  <c r="D17" i="5"/>
  <c r="O14" i="5"/>
  <c r="O48" i="5" s="1"/>
  <c r="N14" i="5"/>
  <c r="N48" i="5" s="1"/>
  <c r="M14" i="5"/>
  <c r="L14" i="5"/>
  <c r="K14" i="5"/>
  <c r="K48" i="5" s="1"/>
  <c r="J14" i="5"/>
  <c r="I14" i="5"/>
  <c r="I48" i="5" s="1"/>
  <c r="H14" i="5"/>
  <c r="H48" i="5" s="1"/>
  <c r="G14" i="5"/>
  <c r="G48" i="5" s="1"/>
  <c r="F14" i="5"/>
  <c r="F48" i="5" s="1"/>
  <c r="E14" i="5"/>
  <c r="C14" i="5"/>
  <c r="Q13" i="5"/>
  <c r="Q12" i="5"/>
  <c r="D11" i="5"/>
  <c r="D14" i="5" s="1"/>
  <c r="Q9" i="5"/>
  <c r="Q8" i="5"/>
  <c r="Q7" i="5"/>
  <c r="Q6" i="5"/>
  <c r="P2" i="5"/>
  <c r="E45" i="1"/>
  <c r="E36" i="1"/>
  <c r="E47" i="1"/>
  <c r="G2" i="17" l="1"/>
  <c r="H53" i="17"/>
  <c r="I2" i="16"/>
  <c r="J53" i="16"/>
  <c r="Q52" i="11"/>
  <c r="Q49" i="10"/>
  <c r="K50" i="8"/>
  <c r="Q29" i="9"/>
  <c r="Q37" i="9"/>
  <c r="H49" i="9"/>
  <c r="J48" i="5"/>
  <c r="Q11" i="9"/>
  <c r="F47" i="9"/>
  <c r="Q38" i="9"/>
  <c r="D46" i="5"/>
  <c r="O50" i="8"/>
  <c r="Q36" i="8"/>
  <c r="Q39" i="8"/>
  <c r="E47" i="9"/>
  <c r="E49" i="9" s="1"/>
  <c r="C48" i="5"/>
  <c r="C49" i="5" s="1"/>
  <c r="Q17" i="8"/>
  <c r="Q36" i="9"/>
  <c r="D52" i="11"/>
  <c r="D53" i="11" s="1"/>
  <c r="F49" i="9"/>
  <c r="L48" i="5"/>
  <c r="M48" i="5"/>
  <c r="C49" i="9"/>
  <c r="C50" i="9" s="1"/>
  <c r="I2" i="15"/>
  <c r="J53" i="15"/>
  <c r="E2" i="14"/>
  <c r="F53" i="14"/>
  <c r="H53" i="13"/>
  <c r="D2" i="12"/>
  <c r="E53" i="12"/>
  <c r="E52" i="10"/>
  <c r="E2" i="10" s="1"/>
  <c r="H51" i="10"/>
  <c r="Q51" i="10"/>
  <c r="H50" i="8"/>
  <c r="E48" i="8"/>
  <c r="E50" i="8" s="1"/>
  <c r="I50" i="8"/>
  <c r="J50" i="8"/>
  <c r="Q34" i="8"/>
  <c r="Q37" i="8"/>
  <c r="Q14" i="9"/>
  <c r="D47" i="9"/>
  <c r="G50" i="8"/>
  <c r="F48" i="8"/>
  <c r="Q14" i="8"/>
  <c r="Q11" i="8"/>
  <c r="Q21" i="8"/>
  <c r="D48" i="8"/>
  <c r="D50" i="8" s="1"/>
  <c r="D51" i="8" s="1"/>
  <c r="D2" i="8" s="1"/>
  <c r="F50" i="1"/>
  <c r="Q17" i="5"/>
  <c r="E46" i="5"/>
  <c r="E48" i="5" s="1"/>
  <c r="D48" i="5"/>
  <c r="D49" i="5" s="1"/>
  <c r="D2" i="5" s="1"/>
  <c r="Q14" i="5"/>
  <c r="Q11" i="5"/>
  <c r="Q28" i="5"/>
  <c r="E50" i="1"/>
  <c r="D11" i="1"/>
  <c r="D31" i="1"/>
  <c r="D17" i="1"/>
  <c r="D38" i="1"/>
  <c r="H2" i="17" l="1"/>
  <c r="I53" i="17"/>
  <c r="J2" i="16"/>
  <c r="K53" i="16"/>
  <c r="E53" i="11"/>
  <c r="D2" i="11"/>
  <c r="Q47" i="9"/>
  <c r="Q49" i="9" s="1"/>
  <c r="F52" i="10"/>
  <c r="F2" i="10" s="1"/>
  <c r="D49" i="9"/>
  <c r="D50" i="9" s="1"/>
  <c r="D2" i="9" s="1"/>
  <c r="J2" i="15"/>
  <c r="K53" i="15"/>
  <c r="F2" i="14"/>
  <c r="G53" i="14"/>
  <c r="H2" i="13"/>
  <c r="I53" i="13"/>
  <c r="E2" i="12"/>
  <c r="F53" i="12"/>
  <c r="E2" i="11"/>
  <c r="F53" i="11"/>
  <c r="G52" i="10"/>
  <c r="Q48" i="8"/>
  <c r="Q50" i="8" s="1"/>
  <c r="E50" i="9"/>
  <c r="F50" i="8"/>
  <c r="E51" i="8"/>
  <c r="Q46" i="5"/>
  <c r="Q48" i="5" s="1"/>
  <c r="E49" i="5"/>
  <c r="D40" i="1"/>
  <c r="D36" i="1"/>
  <c r="D37" i="4"/>
  <c r="D36" i="4"/>
  <c r="D28" i="4"/>
  <c r="D39" i="1"/>
  <c r="D41" i="1"/>
  <c r="I2" i="17" l="1"/>
  <c r="J53" i="17"/>
  <c r="K2" i="16"/>
  <c r="L53" i="16"/>
  <c r="K2" i="15"/>
  <c r="L53" i="15"/>
  <c r="G2" i="14"/>
  <c r="H53" i="14"/>
  <c r="I2" i="13"/>
  <c r="J53" i="13"/>
  <c r="F2" i="12"/>
  <c r="G53" i="12"/>
  <c r="F2" i="11"/>
  <c r="G53" i="11"/>
  <c r="G2" i="10"/>
  <c r="H52" i="10"/>
  <c r="E2" i="9"/>
  <c r="F50" i="9"/>
  <c r="E2" i="8"/>
  <c r="F51" i="8"/>
  <c r="E2" i="5"/>
  <c r="F49" i="5"/>
  <c r="D17" i="4"/>
  <c r="J2" i="17" l="1"/>
  <c r="K53" i="17"/>
  <c r="L2" i="16"/>
  <c r="M53" i="16"/>
  <c r="L2" i="15"/>
  <c r="M53" i="15"/>
  <c r="H2" i="14"/>
  <c r="I53" i="14"/>
  <c r="J2" i="13"/>
  <c r="K53" i="13"/>
  <c r="G2" i="12"/>
  <c r="H53" i="12"/>
  <c r="G2" i="11"/>
  <c r="H53" i="11"/>
  <c r="H2" i="10"/>
  <c r="I52" i="10"/>
  <c r="F2" i="9"/>
  <c r="G50" i="9"/>
  <c r="F2" i="8"/>
  <c r="G51" i="8"/>
  <c r="F2" i="5"/>
  <c r="G49" i="5"/>
  <c r="G48" i="4"/>
  <c r="J48" i="4"/>
  <c r="O48" i="4"/>
  <c r="D46" i="4"/>
  <c r="E46" i="4"/>
  <c r="F46" i="4"/>
  <c r="G46" i="4"/>
  <c r="H46" i="4"/>
  <c r="I46" i="4"/>
  <c r="J46" i="4"/>
  <c r="K46" i="4"/>
  <c r="L46" i="4"/>
  <c r="M46" i="4"/>
  <c r="N46" i="4"/>
  <c r="O46" i="4"/>
  <c r="C46" i="4"/>
  <c r="D14" i="4"/>
  <c r="E14" i="4"/>
  <c r="E48" i="4" s="1"/>
  <c r="F14" i="4"/>
  <c r="F48" i="4" s="1"/>
  <c r="G14" i="4"/>
  <c r="H14" i="4"/>
  <c r="H48" i="4" s="1"/>
  <c r="I14" i="4"/>
  <c r="I48" i="4" s="1"/>
  <c r="J14" i="4"/>
  <c r="K14" i="4"/>
  <c r="K48" i="4" s="1"/>
  <c r="L14" i="4"/>
  <c r="L48" i="4" s="1"/>
  <c r="M14" i="4"/>
  <c r="M48" i="4" s="1"/>
  <c r="N14" i="4"/>
  <c r="N48" i="4" s="1"/>
  <c r="O14" i="4"/>
  <c r="C14" i="4"/>
  <c r="D50" i="1"/>
  <c r="D14" i="1"/>
  <c r="E52" i="1"/>
  <c r="H52" i="1"/>
  <c r="Q11" i="1"/>
  <c r="Q31" i="1"/>
  <c r="L52" i="1"/>
  <c r="K52" i="1"/>
  <c r="I52" i="1"/>
  <c r="C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4" i="1"/>
  <c r="Q33" i="1"/>
  <c r="Q32" i="1"/>
  <c r="Q30" i="1"/>
  <c r="Q29" i="1"/>
  <c r="Q28" i="1"/>
  <c r="Q27" i="1"/>
  <c r="Q26" i="1"/>
  <c r="Q25" i="1"/>
  <c r="Q22" i="1"/>
  <c r="Q21" i="1"/>
  <c r="Q19" i="1"/>
  <c r="Q18" i="1"/>
  <c r="Q17" i="1"/>
  <c r="C14" i="1"/>
  <c r="Q13" i="1"/>
  <c r="Q12" i="1"/>
  <c r="Q9" i="1"/>
  <c r="Q8" i="1"/>
  <c r="Q7" i="1"/>
  <c r="Q6" i="1"/>
  <c r="P2" i="1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3" i="4"/>
  <c r="Q12" i="4"/>
  <c r="Q11" i="4"/>
  <c r="Q9" i="4"/>
  <c r="Q8" i="4"/>
  <c r="Q7" i="4"/>
  <c r="Q6" i="4"/>
  <c r="P2" i="4"/>
  <c r="K2" i="17" l="1"/>
  <c r="L53" i="17"/>
  <c r="M2" i="16"/>
  <c r="N53" i="16"/>
  <c r="D48" i="4"/>
  <c r="C52" i="1"/>
  <c r="C53" i="1" s="1"/>
  <c r="M2" i="15"/>
  <c r="N53" i="15"/>
  <c r="I2" i="14"/>
  <c r="J53" i="14"/>
  <c r="K2" i="13"/>
  <c r="L53" i="13"/>
  <c r="H2" i="12"/>
  <c r="I53" i="12"/>
  <c r="H2" i="11"/>
  <c r="I53" i="11"/>
  <c r="O52" i="1"/>
  <c r="M52" i="1"/>
  <c r="I2" i="10"/>
  <c r="J52" i="10"/>
  <c r="N52" i="1"/>
  <c r="G2" i="9"/>
  <c r="H50" i="9"/>
  <c r="G2" i="8"/>
  <c r="H51" i="8"/>
  <c r="F52" i="1"/>
  <c r="G52" i="1"/>
  <c r="J52" i="1"/>
  <c r="G2" i="5"/>
  <c r="H49" i="5"/>
  <c r="D52" i="1"/>
  <c r="D53" i="1" s="1"/>
  <c r="D2" i="1" s="1"/>
  <c r="Q50" i="1"/>
  <c r="Q14" i="1"/>
  <c r="Q14" i="4"/>
  <c r="Q46" i="4"/>
  <c r="C48" i="4"/>
  <c r="C49" i="4" s="1"/>
  <c r="L2" i="17" l="1"/>
  <c r="M53" i="17"/>
  <c r="N2" i="16"/>
  <c r="O53" i="16"/>
  <c r="O2" i="16" s="1"/>
  <c r="Q48" i="4"/>
  <c r="D49" i="4"/>
  <c r="N2" i="15"/>
  <c r="O53" i="15"/>
  <c r="O2" i="15" s="1"/>
  <c r="J2" i="14"/>
  <c r="K53" i="14"/>
  <c r="L2" i="13"/>
  <c r="M53" i="13"/>
  <c r="I2" i="12"/>
  <c r="J53" i="12"/>
  <c r="I2" i="11"/>
  <c r="J53" i="11"/>
  <c r="J2" i="10"/>
  <c r="K52" i="10"/>
  <c r="H2" i="9"/>
  <c r="I50" i="9"/>
  <c r="H2" i="8"/>
  <c r="I51" i="8"/>
  <c r="H2" i="5"/>
  <c r="I49" i="5"/>
  <c r="E53" i="1"/>
  <c r="E2" i="1" s="1"/>
  <c r="Q52" i="1"/>
  <c r="M2" i="17" l="1"/>
  <c r="N53" i="17"/>
  <c r="D2" i="4"/>
  <c r="E49" i="4"/>
  <c r="K2" i="14"/>
  <c r="L53" i="14"/>
  <c r="M2" i="13"/>
  <c r="N53" i="13"/>
  <c r="J2" i="12"/>
  <c r="K53" i="12"/>
  <c r="J2" i="11"/>
  <c r="K53" i="11"/>
  <c r="K2" i="10"/>
  <c r="L52" i="10"/>
  <c r="I2" i="9"/>
  <c r="J50" i="9"/>
  <c r="I2" i="8"/>
  <c r="J51" i="8"/>
  <c r="I2" i="5"/>
  <c r="J49" i="5"/>
  <c r="F53" i="1"/>
  <c r="G53" i="1" s="1"/>
  <c r="H53" i="1" s="1"/>
  <c r="I53" i="1" s="1"/>
  <c r="I2" i="1" s="1"/>
  <c r="N2" i="17" l="1"/>
  <c r="O53" i="17"/>
  <c r="O2" i="17" s="1"/>
  <c r="F49" i="4"/>
  <c r="E2" i="4"/>
  <c r="L2" i="14"/>
  <c r="M53" i="14"/>
  <c r="N2" i="13"/>
  <c r="O53" i="13"/>
  <c r="O2" i="13" s="1"/>
  <c r="K2" i="12"/>
  <c r="L53" i="12"/>
  <c r="K2" i="11"/>
  <c r="L53" i="11"/>
  <c r="L2" i="10"/>
  <c r="M52" i="10"/>
  <c r="J2" i="9"/>
  <c r="K50" i="9"/>
  <c r="J2" i="8"/>
  <c r="K51" i="8"/>
  <c r="J2" i="5"/>
  <c r="K49" i="5"/>
  <c r="J53" i="1"/>
  <c r="J2" i="1" s="1"/>
  <c r="F2" i="1"/>
  <c r="G2" i="1"/>
  <c r="H2" i="1"/>
  <c r="F2" i="4" l="1"/>
  <c r="G49" i="4"/>
  <c r="M2" i="14"/>
  <c r="N53" i="14"/>
  <c r="L2" i="12"/>
  <c r="M53" i="12"/>
  <c r="L2" i="11"/>
  <c r="M53" i="11"/>
  <c r="M2" i="10"/>
  <c r="N52" i="10"/>
  <c r="K2" i="9"/>
  <c r="L50" i="9"/>
  <c r="K2" i="8"/>
  <c r="L51" i="8"/>
  <c r="K2" i="5"/>
  <c r="L49" i="5"/>
  <c r="K53" i="1"/>
  <c r="K2" i="1" s="1"/>
  <c r="H49" i="4" l="1"/>
  <c r="G2" i="4"/>
  <c r="N2" i="14"/>
  <c r="O53" i="14"/>
  <c r="O2" i="14" s="1"/>
  <c r="M2" i="12"/>
  <c r="N53" i="12"/>
  <c r="M2" i="11"/>
  <c r="N53" i="11"/>
  <c r="N2" i="10"/>
  <c r="O52" i="10"/>
  <c r="O2" i="10" s="1"/>
  <c r="L2" i="9"/>
  <c r="M50" i="9"/>
  <c r="L2" i="8"/>
  <c r="M51" i="8"/>
  <c r="L2" i="5"/>
  <c r="M49" i="5"/>
  <c r="L53" i="1"/>
  <c r="M53" i="1" s="1"/>
  <c r="I49" i="4" l="1"/>
  <c r="H2" i="4"/>
  <c r="N2" i="12"/>
  <c r="O53" i="12"/>
  <c r="O2" i="12" s="1"/>
  <c r="N2" i="11"/>
  <c r="O53" i="11"/>
  <c r="O2" i="11" s="1"/>
  <c r="M2" i="9"/>
  <c r="N50" i="9"/>
  <c r="M2" i="8"/>
  <c r="N51" i="8"/>
  <c r="M2" i="5"/>
  <c r="N49" i="5"/>
  <c r="L2" i="1"/>
  <c r="N53" i="1"/>
  <c r="M2" i="1"/>
  <c r="J49" i="4" l="1"/>
  <c r="I2" i="4"/>
  <c r="N2" i="9"/>
  <c r="O50" i="9"/>
  <c r="O2" i="9" s="1"/>
  <c r="N2" i="8"/>
  <c r="O51" i="8"/>
  <c r="O2" i="8" s="1"/>
  <c r="N2" i="5"/>
  <c r="O49" i="5"/>
  <c r="O2" i="5" s="1"/>
  <c r="O53" i="1"/>
  <c r="O2" i="1" s="1"/>
  <c r="N2" i="1"/>
  <c r="K49" i="4" l="1"/>
  <c r="J2" i="4"/>
  <c r="K2" i="4" l="1"/>
  <c r="L49" i="4"/>
  <c r="M49" i="4" l="1"/>
  <c r="L2" i="4"/>
  <c r="N49" i="4" l="1"/>
  <c r="M2" i="4"/>
  <c r="O49" i="4" l="1"/>
  <c r="O2" i="4" s="1"/>
  <c r="N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55C76A97-F889-4B77-B088-4501C0F510D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F27BF6D0-A707-44F4-8D67-C9D7806EFE6A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CF95420B-C37B-4C8C-B2FF-2F55CE5435C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86019451-F5BE-4DB5-A7FA-D136AD69D76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AF53962B-993A-418B-AC4F-7DBFF2D81EC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8C333F87-CDA4-4BA5-85D1-5A0EE043E5A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04280E8A-B034-4BA5-B4E4-D06B0CCD7B5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E8AADC1B-101D-4E55-9FD2-E852E51AC18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E033F57D-1053-44B3-B10F-B22557B581A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17A30D5F-1482-41AA-92AF-47589158C4F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B15D2A1F-7D89-449A-91B5-F598384A09B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F9C25779-68A1-4CAB-A142-C95FD3B44F2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43D4F027-2A66-4413-946F-61E18712BD56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915FE43F-AE04-4282-861B-0629EB64AE1C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158525BE-4612-4D5C-A153-D9A955CC0C2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7BE2DF75-DF67-41FC-ABBA-83362495381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B1933276-FBB3-4AC8-876A-92494B344E16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4C274C89-8D16-4925-B49A-5297CF230DA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EAABF10D-675E-4B90-8FD8-AAE92BBA784E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AEB66597-9440-40E5-BF3B-D7D5AFF74B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88354317-D4DB-4A06-9BB5-77C3F2C12CF6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22B6F9E9-A690-4E24-986F-E9200C5F6C1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58EBC254-AE1E-4C3A-AE13-7593EB85A8E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7104BA8E-970F-4507-B6A8-C52A9BB98FA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B1EB99FC-EAAD-4389-B9BC-8D9B46E036CC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3" authorId="0" shapeId="0" xr:uid="{BA230C2D-17EA-4333-9348-2C8B824C3AA5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1" authorId="0" shapeId="0" xr:uid="{770D19F2-3EBA-4530-B81E-EB2AA922A81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2" authorId="0" shapeId="0" xr:uid="{EDCB0A4A-14AF-41BF-9E94-1CB28778E1CB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4" authorId="0" shapeId="0" xr:uid="{7D875330-B4E7-4D79-822A-8BC8BF25C3D1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5" authorId="0" shapeId="0" xr:uid="{FADA47AD-E92B-42DE-9337-A2CB5F2FE91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3" authorId="0" shapeId="0" xr:uid="{D6E9DD96-9973-4FB5-A647-B24FE4B16981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1" authorId="0" shapeId="0" xr:uid="{063FCF01-8B78-4660-A598-28C23E6BE3C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2" authorId="0" shapeId="0" xr:uid="{0546C672-DD2C-427D-986B-AB0422BE83E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4" authorId="0" shapeId="0" xr:uid="{A774A2F7-C018-471D-9061-AD22FF8258B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5" authorId="0" shapeId="0" xr:uid="{1637B482-B4BD-40E8-A806-9335AE080F8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4" authorId="0" shapeId="0" xr:uid="{CE8FEA85-A3BE-492E-A6B5-3A6D1986797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2" authorId="0" shapeId="0" xr:uid="{7EE19011-1002-4952-943F-48464B2632E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3" authorId="0" shapeId="0" xr:uid="{04F84771-9C40-42CD-BCDF-6BADC861317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5" authorId="0" shapeId="0" xr:uid="{35D7F6F7-60D0-4217-995C-086A1489385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6" authorId="0" shapeId="0" xr:uid="{5C34F47D-FB69-4EA8-A390-846902095F41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5" authorId="0" shapeId="0" xr:uid="{0E0FA9FD-1C57-48FD-B754-969B96102D4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3" authorId="0" shapeId="0" xr:uid="{4B04F7C4-8545-4075-AE53-61E29BF3E67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4" authorId="0" shapeId="0" xr:uid="{65312775-948E-4992-8ECC-5DD08209A84D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6" authorId="0" shapeId="0" xr:uid="{3DE6755B-8932-47EA-B89D-318F07A03D8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7" authorId="0" shapeId="0" xr:uid="{FD99EEA6-A34F-45F4-8C5E-F1B6EF27E527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5" authorId="0" shapeId="0" xr:uid="{891A35E4-3B5C-4C7F-9CD7-C7C2567C933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4" authorId="0" shapeId="0" xr:uid="{28108E3D-12EE-4708-89AF-142B0D4A6D2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5" authorId="0" shapeId="0" xr:uid="{3E222558-FE65-4C17-963C-78F01B69D8BE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7" authorId="0" shapeId="0" xr:uid="{C0CACEEB-CEF7-4FBB-A332-1000552C1DC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8" authorId="0" shapeId="0" xr:uid="{7A2BCAAB-3870-4BC9-BB36-522AFD13268C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9E61BA25-7212-44EA-B92C-9E8C2F1B6A9B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94EF5C04-8736-4ECB-938E-510057EA8CFC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13EFB2E5-E965-45F8-9CD4-B9AADECF446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DE79D0F4-8178-464A-B2A5-CF3AB8F95206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22BD1A39-E676-4648-A675-A8D2C0BDE86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A65AAF6C-A429-497A-ADE9-F10C08F5D98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0B19676F-CF96-44D2-81C6-4E06CFAAB54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F3CAA170-E650-460A-9241-EA53D3866383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58DB6C3A-D516-48F3-936A-0823906A4D88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1E0F74B7-1FA1-4733-8E50-86257BB3BBF4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B26" authorId="0" shapeId="0" xr:uid="{A7272D95-800B-4ED6-925E-0249915A8A9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en tre le 31 et le 02 du M+1</t>
        </r>
      </text>
    </comment>
    <comment ref="B45" authorId="0" shapeId="0" xr:uid="{63B5E104-9441-4449-8573-2F0BAF18AC4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entra le 16 et le 17 du M+1
</t>
        </r>
      </text>
    </comment>
    <comment ref="B46" authorId="0" shapeId="0" xr:uid="{AD42B1B6-6A37-4A6C-BDF7-CEB3FB7D9E92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Trimestriel entre le 24 et le 25 du M+1</t>
        </r>
      </text>
    </comment>
    <comment ref="B48" authorId="0" shapeId="0" xr:uid="{30926DE7-408C-4A7A-9340-1FD58A2BA9AF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Paiement Trimestriel entre le 28 et le 02 
</t>
        </r>
      </text>
    </comment>
    <comment ref="B49" authorId="0" shapeId="0" xr:uid="{B2853341-00FD-4263-B28E-44F0BF27A8B9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Prélèvement mensuel entre le 21 et le 24 de chaque mois</t>
        </r>
      </text>
    </comment>
  </commentList>
</comments>
</file>

<file path=xl/sharedStrings.xml><?xml version="1.0" encoding="utf-8"?>
<sst xmlns="http://schemas.openxmlformats.org/spreadsheetml/2006/main" count="753" uniqueCount="69">
  <si>
    <t>Trésorerie</t>
  </si>
  <si>
    <t>Différence entrées/sorties</t>
  </si>
  <si>
    <t>Total sorties</t>
  </si>
  <si>
    <t>PAS</t>
  </si>
  <si>
    <t>Mutuelle</t>
  </si>
  <si>
    <t>Prévoyance</t>
  </si>
  <si>
    <t>Retraite</t>
  </si>
  <si>
    <t>Urssaf</t>
  </si>
  <si>
    <t>Achats</t>
  </si>
  <si>
    <t>Frais Km</t>
  </si>
  <si>
    <t>Salaires</t>
  </si>
  <si>
    <t>Fournissuers</t>
  </si>
  <si>
    <t>TVA</t>
  </si>
  <si>
    <t>Impots</t>
  </si>
  <si>
    <t>CB</t>
  </si>
  <si>
    <t>Crédit</t>
  </si>
  <si>
    <t>Banque</t>
  </si>
  <si>
    <t>Boondmanager</t>
  </si>
  <si>
    <t>Frais Comptable</t>
  </si>
  <si>
    <t>Amundi</t>
  </si>
  <si>
    <t>Hiscox</t>
  </si>
  <si>
    <t>Frais</t>
  </si>
  <si>
    <t xml:space="preserve">Sorties </t>
  </si>
  <si>
    <t>Total entrées</t>
  </si>
  <si>
    <t>Remboursement Chomage Partiel</t>
  </si>
  <si>
    <t>Règlement factures</t>
  </si>
  <si>
    <t>TVA récupérée</t>
  </si>
  <si>
    <t>Capital apporté</t>
  </si>
  <si>
    <t>Prêt bancaire</t>
  </si>
  <si>
    <t xml:space="preserve">Trèsorerie en début de mois </t>
  </si>
  <si>
    <t>Entrées</t>
  </si>
  <si>
    <t>TOTAL</t>
  </si>
  <si>
    <t>décembre</t>
  </si>
  <si>
    <t>novembre</t>
  </si>
  <si>
    <t>octobre</t>
  </si>
  <si>
    <t>Début d'activité</t>
  </si>
  <si>
    <t>MOIS</t>
  </si>
  <si>
    <t>Intéressement</t>
  </si>
  <si>
    <t>Autres</t>
  </si>
  <si>
    <t>Acomptes</t>
  </si>
  <si>
    <t>CMSM</t>
  </si>
  <si>
    <t>Remboursement Capital apporté</t>
  </si>
  <si>
    <t>Cooptation</t>
  </si>
  <si>
    <t>Janvier</t>
  </si>
  <si>
    <t>Février</t>
  </si>
  <si>
    <t>Mars</t>
  </si>
  <si>
    <t xml:space="preserve">Avril </t>
  </si>
  <si>
    <t>Mai</t>
  </si>
  <si>
    <t>Juin</t>
  </si>
  <si>
    <t>Juillet</t>
  </si>
  <si>
    <t>Aout</t>
  </si>
  <si>
    <t>Séptembre</t>
  </si>
  <si>
    <t>Hitechpros</t>
  </si>
  <si>
    <t>Suivi de trésorerie 2024</t>
  </si>
  <si>
    <t>Dernière Opération inscrite 25/01/2024: Virement Sortant Additionnel : 0,30€</t>
  </si>
  <si>
    <t>Dernière Opération inscrite 23/02/2024: Paiement OVH Cloud : 94,9€</t>
  </si>
  <si>
    <t>LEGAL PLACE</t>
  </si>
  <si>
    <t>Dernière Opération inscrite 27/03/2024: Règlement facture SOFTEAM : 21 384,00€</t>
  </si>
  <si>
    <t>Atlas</t>
  </si>
  <si>
    <t>Dernière Opération inscrite 23/04/2024: Paiement par CB Paradis DEFENSE : - 33,30 €</t>
  </si>
  <si>
    <t>CVAE</t>
  </si>
  <si>
    <t>Dernière Opération inscrite 23/05/2024: Prélévement DGFIP : - 14 318,00 €</t>
  </si>
  <si>
    <t>Frais créche</t>
  </si>
  <si>
    <t>Dernière Opération inscrite 21/06/2024: Paiement OVH Cloud : - 57,46€</t>
  </si>
  <si>
    <t>Dernière Opération inscrite 05/08/2024: Paiement Fournisseur ANBRY : - 5 289,60€</t>
  </si>
  <si>
    <t xml:space="preserve">Dernière Opération inscrite 31/07/2024: Paiement Salaire : </t>
  </si>
  <si>
    <t>Dernière Opération inscrite 25/10/2024: Prélévement MALAKOFF : 34 823,99€</t>
  </si>
  <si>
    <t>Dernière Opération inscrite 19/11/2024: GVDJ TECHNOLOGIES : 12 000,00€</t>
  </si>
  <si>
    <t>Dernière Opération inscrite 31/12/2024: Règlement HIGH EVOLUTION CONSULTING : 16 560,00€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</si>
</sst>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8"/>
      <color rgb="FF1D1D1B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B5C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164" fontId="0" fillId="2" borderId="0" xfId="1" applyFont="1" applyFill="1"/>
    <xf numFmtId="164" fontId="2" fillId="3" borderId="1" xfId="1" applyFont="1" applyFill="1" applyBorder="1"/>
    <xf numFmtId="4" fontId="0" fillId="0" borderId="0" xfId="0" applyNumberFormat="1"/>
    <xf numFmtId="164" fontId="2" fillId="0" borderId="0" xfId="1" applyFont="1" applyFill="1" applyBorder="1"/>
    <xf numFmtId="0" fontId="2" fillId="0" borderId="5" xfId="0" applyFont="1" applyBorder="1"/>
    <xf numFmtId="4" fontId="0" fillId="3" borderId="6" xfId="0" applyNumberFormat="1" applyFill="1" applyBorder="1"/>
    <xf numFmtId="164" fontId="2" fillId="3" borderId="8" xfId="1" applyFont="1" applyFill="1" applyBorder="1"/>
    <xf numFmtId="0" fontId="5" fillId="3" borderId="9" xfId="0" applyFont="1" applyFill="1" applyBorder="1"/>
    <xf numFmtId="164" fontId="2" fillId="0" borderId="10" xfId="1" applyFont="1" applyBorder="1"/>
    <xf numFmtId="0" fontId="0" fillId="0" borderId="12" xfId="0" applyBorder="1" applyProtection="1">
      <protection locked="0"/>
    </xf>
    <xf numFmtId="0" fontId="0" fillId="0" borderId="15" xfId="0" applyBorder="1" applyProtection="1">
      <protection locked="0"/>
    </xf>
    <xf numFmtId="0" fontId="0" fillId="2" borderId="15" xfId="0" applyFill="1" applyBorder="1" applyProtection="1">
      <protection locked="0"/>
    </xf>
    <xf numFmtId="164" fontId="6" fillId="0" borderId="18" xfId="1" applyFon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5" borderId="19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12" xfId="0" applyFill="1" applyBorder="1" applyProtection="1">
      <protection locked="0"/>
    </xf>
    <xf numFmtId="164" fontId="0" fillId="6" borderId="6" xfId="1" applyFont="1" applyFill="1" applyBorder="1"/>
    <xf numFmtId="0" fontId="5" fillId="6" borderId="24" xfId="0" applyFont="1" applyFill="1" applyBorder="1"/>
    <xf numFmtId="0" fontId="0" fillId="2" borderId="0" xfId="0" applyFill="1" applyAlignment="1">
      <alignment vertical="center"/>
    </xf>
    <xf numFmtId="2" fontId="0" fillId="3" borderId="6" xfId="0" applyNumberFormat="1" applyFill="1" applyBorder="1" applyAlignment="1">
      <alignment vertical="center"/>
    </xf>
    <xf numFmtId="164" fontId="0" fillId="3" borderId="25" xfId="1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2" fontId="0" fillId="0" borderId="0" xfId="0" applyNumberFormat="1"/>
    <xf numFmtId="164" fontId="0" fillId="2" borderId="17" xfId="1" applyFont="1" applyFill="1" applyBorder="1"/>
    <xf numFmtId="164" fontId="0" fillId="2" borderId="18" xfId="1" applyFont="1" applyFill="1" applyBorder="1"/>
    <xf numFmtId="164" fontId="0" fillId="2" borderId="28" xfId="1" applyFont="1" applyFill="1" applyBorder="1"/>
    <xf numFmtId="164" fontId="0" fillId="2" borderId="29" xfId="1" applyFont="1" applyFill="1" applyBorder="1"/>
    <xf numFmtId="164" fontId="0" fillId="2" borderId="21" xfId="1" applyFont="1" applyFill="1" applyBorder="1"/>
    <xf numFmtId="164" fontId="0" fillId="2" borderId="22" xfId="1" applyFont="1" applyFill="1" applyBorder="1"/>
    <xf numFmtId="0" fontId="0" fillId="0" borderId="30" xfId="0" applyBorder="1" applyProtection="1">
      <protection locked="0"/>
    </xf>
    <xf numFmtId="164" fontId="0" fillId="2" borderId="14" xfId="1" applyFont="1" applyFill="1" applyBorder="1"/>
    <xf numFmtId="164" fontId="0" fillId="2" borderId="11" xfId="1" applyFont="1" applyFill="1" applyBorder="1"/>
    <xf numFmtId="164" fontId="0" fillId="7" borderId="1" xfId="1" applyFont="1" applyFill="1" applyBorder="1"/>
    <xf numFmtId="0" fontId="0" fillId="7" borderId="6" xfId="0" applyFill="1" applyBorder="1"/>
    <xf numFmtId="164" fontId="0" fillId="7" borderId="23" xfId="1" applyFont="1" applyFill="1" applyBorder="1"/>
    <xf numFmtId="164" fontId="0" fillId="7" borderId="6" xfId="1" applyFont="1" applyFill="1" applyBorder="1"/>
    <xf numFmtId="0" fontId="5" fillId="7" borderId="24" xfId="0" applyFont="1" applyFill="1" applyBorder="1"/>
    <xf numFmtId="0" fontId="0" fillId="8" borderId="19" xfId="0" applyFill="1" applyBorder="1" applyProtection="1">
      <protection locked="0"/>
    </xf>
    <xf numFmtId="0" fontId="0" fillId="8" borderId="15" xfId="0" applyFill="1" applyBorder="1" applyProtection="1">
      <protection locked="0"/>
    </xf>
    <xf numFmtId="0" fontId="0" fillId="9" borderId="15" xfId="0" applyFill="1" applyBorder="1" applyProtection="1">
      <protection locked="0"/>
    </xf>
    <xf numFmtId="0" fontId="0" fillId="9" borderId="12" xfId="0" applyFill="1" applyBorder="1" applyProtection="1">
      <protection locked="0"/>
    </xf>
    <xf numFmtId="0" fontId="0" fillId="10" borderId="19" xfId="0" applyFill="1" applyBorder="1" applyProtection="1">
      <protection locked="0"/>
    </xf>
    <xf numFmtId="0" fontId="0" fillId="10" borderId="15" xfId="0" applyFill="1" applyBorder="1" applyProtection="1">
      <protection locked="0"/>
    </xf>
    <xf numFmtId="164" fontId="4" fillId="4" borderId="22" xfId="1" applyFont="1" applyFill="1" applyBorder="1"/>
    <xf numFmtId="4" fontId="3" fillId="4" borderId="22" xfId="0" applyNumberFormat="1" applyFont="1" applyFill="1" applyBorder="1"/>
    <xf numFmtId="164" fontId="2" fillId="3" borderId="22" xfId="1" applyFont="1" applyFill="1" applyBorder="1"/>
    <xf numFmtId="164" fontId="8" fillId="2" borderId="0" xfId="1" applyFont="1" applyFill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164" fontId="9" fillId="4" borderId="6" xfId="1" applyFont="1" applyFill="1" applyBorder="1" applyAlignment="1">
      <alignment horizontal="center" vertical="center"/>
    </xf>
    <xf numFmtId="164" fontId="9" fillId="4" borderId="8" xfId="1" applyFont="1" applyFill="1" applyBorder="1" applyAlignment="1">
      <alignment horizontal="center" vertical="center"/>
    </xf>
    <xf numFmtId="164" fontId="9" fillId="4" borderId="7" xfId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164" fontId="9" fillId="4" borderId="1" xfId="1" applyFont="1" applyFill="1" applyBorder="1" applyAlignment="1">
      <alignment horizontal="center" vertical="center"/>
    </xf>
    <xf numFmtId="164" fontId="2" fillId="2" borderId="27" xfId="1" applyFont="1" applyFill="1" applyBorder="1"/>
    <xf numFmtId="164" fontId="2" fillId="2" borderId="16" xfId="1" applyFont="1" applyFill="1" applyBorder="1"/>
    <xf numFmtId="164" fontId="2" fillId="2" borderId="13" xfId="1" applyFont="1" applyFill="1" applyBorder="1"/>
    <xf numFmtId="164" fontId="2" fillId="2" borderId="20" xfId="1" applyFont="1" applyFill="1" applyBorder="1"/>
    <xf numFmtId="164" fontId="2" fillId="3" borderId="1" xfId="1" applyFont="1" applyFill="1" applyBorder="1" applyAlignment="1">
      <alignment vertical="center"/>
    </xf>
    <xf numFmtId="0" fontId="12" fillId="2" borderId="0" xfId="0" applyFont="1" applyFill="1"/>
    <xf numFmtId="164" fontId="7" fillId="0" borderId="0" xfId="1" applyFont="1" applyBorder="1" applyAlignment="1">
      <alignment horizontal="left" vertical="center"/>
    </xf>
    <xf numFmtId="164" fontId="0" fillId="6" borderId="31" xfId="1" applyFont="1" applyFill="1" applyBorder="1"/>
    <xf numFmtId="0" fontId="0" fillId="2" borderId="32" xfId="0" applyFill="1" applyBorder="1" applyProtection="1">
      <protection locked="0"/>
    </xf>
    <xf numFmtId="164" fontId="6" fillId="0" borderId="26" xfId="1" applyFont="1" applyFill="1" applyBorder="1" applyProtection="1">
      <protection locked="0"/>
    </xf>
    <xf numFmtId="164" fontId="6" fillId="0" borderId="33" xfId="1" applyFont="1" applyFill="1" applyBorder="1" applyProtection="1">
      <protection locked="0"/>
    </xf>
    <xf numFmtId="0" fontId="13" fillId="4" borderId="4" xfId="0" applyFont="1" applyFill="1" applyBorder="1"/>
    <xf numFmtId="0" fontId="13" fillId="4" borderId="3" xfId="0" applyFont="1" applyFill="1" applyBorder="1"/>
    <xf numFmtId="0" fontId="14" fillId="0" borderId="0" xfId="0" applyFont="1"/>
    <xf numFmtId="164" fontId="7" fillId="0" borderId="0" xfId="1" applyFont="1" applyAlignment="1">
      <alignment horizontal="left" vertical="center"/>
    </xf>
    <xf numFmtId="164" fontId="7" fillId="0" borderId="2" xfId="1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B5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57974-A48B-4D83-AD1A-523E6338B5EC}">
  <dimension ref="B1:Q53"/>
  <sheetViews>
    <sheetView tabSelected="1" topLeftCell="M14" zoomScale="89" workbookViewId="0">
      <selection activeCell="O50" sqref="O50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3" width="17.5546875" style="2" bestFit="1" customWidth="1"/>
    <col min="14" max="14" width="17.6640625" style="2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68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185523.10000000009</v>
      </c>
      <c r="K2" s="49">
        <f t="shared" si="0"/>
        <v>218840.83000000013</v>
      </c>
      <c r="L2" s="49">
        <f t="shared" si="0"/>
        <v>218409.17000000004</v>
      </c>
      <c r="M2" s="49">
        <f t="shared" si="0"/>
        <v>210081.56000000017</v>
      </c>
      <c r="N2" s="49">
        <f t="shared" si="0"/>
        <v>183734.39000000013</v>
      </c>
      <c r="O2" s="49">
        <f t="shared" si="0"/>
        <v>262323.43000000005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f>12240+11880+11832+12240+9072+17280+7722+9180+11328+10200+4872+20592+9792+10800+11856+14520+14820+20808+14688+11016+11400+5724+11556+14472+11136+11016+12960+11232+14040+17640+1818+10080+11520+15960+13200+10098+11448+10890+11628+15120+13137+12960+12240+16680+1428+9936+6000+13200+11172+1854+13248+11016</f>
        <v>602547</v>
      </c>
      <c r="K11" s="29">
        <f>7056+4320+10260+7656+11700+16698+6360+10920+10212+9600+12480+14160+19200+17280+816+22752+12240+12600+4200+5616+12960+1476+7656+13860+13104+6600+14820+16800+6600+12540+12348+10878+6600+8580+12240+996+14400+6480+13260+6840+13608+4800+5520+10008+447.55+13248+5940+5292+16008+10032+6426+9828+11880+11880</f>
        <v>540081.55000000005</v>
      </c>
      <c r="L11" s="28">
        <f>12840+16320+10800+16284+15897.6+12600+15093+8100+14352+2184+9990+15120+17550+5082+22896+12840+19872+12600+14904+16560+17940+14628+16008+14352+14076+11016+5760+13158+12852+5400+11136+12960+8568+11220+17097+5400+7728+9828+437.17+16560</f>
        <v>498008.76999999996</v>
      </c>
      <c r="M11" s="29">
        <f>12000+14400+12144+15180+12900+11880+11016+2448+7200+22632+3600+10200+14616+13104+802.29+11616+14868+12000+24192+3840+1536+10368+10800+7920+12240+11016+13482+10260+7800+12480+13356+18547.2+14616+14391+16380+12000+5760+12096+15120+11322+6120+11316+12000+17514+10368+5940+6270+9324+12540+10560+15876+6732+13200+11760</f>
        <v>611648.49</v>
      </c>
      <c r="N11" s="29">
        <f>14616+8280+10800+12420+6000+4800+12600+14868+18240+13104+18144+980.56+16698+26712+8424+13608+3852+9984+16020+12600+14616+5508+12000+12852+7800+12084+8832+18547.2+14112+11016+14904+19182+11040+6120+12852+9576+14616+10800+5400+12540+18396</f>
        <v>495543.76</v>
      </c>
      <c r="O11" s="28">
        <f>17388+15180+19200+12672+3696+20313.6+12852+6600+2142+7560+10800+13800+16284+17640+14352+13794+29256+17160+19872+14520+13524+13800+16866+14766+14904+10788+14352+11880+14076+14616+14742+14364+12084+16800+15120+20148+15846+9936+12312+13224+12960+11400+8424+9576+12210</f>
        <v>623799.6</v>
      </c>
      <c r="P11" s="25"/>
      <c r="Q11" s="56">
        <f>SUM(C11:O11)</f>
        <v>6755083.9799999995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>
        <v>624</v>
      </c>
      <c r="K12" s="29"/>
      <c r="L12" s="28"/>
      <c r="M12" s="29"/>
      <c r="N12" s="29"/>
      <c r="O12" s="28">
        <v>1000</v>
      </c>
      <c r="P12" s="25"/>
      <c r="Q12" s="56">
        <f>SUM(C12:O12)</f>
        <v>13850.17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O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603171</v>
      </c>
      <c r="K14" s="23">
        <f t="shared" si="1"/>
        <v>540081.55000000005</v>
      </c>
      <c r="L14" s="23">
        <f t="shared" si="1"/>
        <v>498008.76999999996</v>
      </c>
      <c r="M14" s="23">
        <f t="shared" si="1"/>
        <v>611648.49</v>
      </c>
      <c r="N14" s="23">
        <f t="shared" si="1"/>
        <v>495543.76</v>
      </c>
      <c r="O14" s="23">
        <f t="shared" si="1"/>
        <v>624799.6</v>
      </c>
      <c r="P14" s="22"/>
      <c r="Q14" s="60">
        <f>SUM(C14:O14)</f>
        <v>6872976.959999999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>
        <f>7.2+2</f>
        <v>9.1999999999999993</v>
      </c>
      <c r="K17" s="14">
        <f>7.2+2</f>
        <v>9.1999999999999993</v>
      </c>
      <c r="L17" s="14">
        <f>7.2+2</f>
        <v>9.1999999999999993</v>
      </c>
      <c r="M17" s="14">
        <f>7.2+2+5+5</f>
        <v>19.2</v>
      </c>
      <c r="N17" s="14">
        <f>7.2+2+5+5+0.48+0.08</f>
        <v>19.759999999999998</v>
      </c>
      <c r="O17" s="14">
        <f>7.2+5+5+2+0.49</f>
        <v>19.689999999999998</v>
      </c>
      <c r="P17" s="4"/>
      <c r="Q17" s="10">
        <f t="shared" ref="Q17:Q49" si="2">+SUM(C17:O17)</f>
        <v>18280.079999999984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>
        <v>38.36</v>
      </c>
      <c r="L18" s="14">
        <v>38.36</v>
      </c>
      <c r="M18" s="14">
        <v>38.479999999999997</v>
      </c>
      <c r="N18" s="14">
        <v>38.36</v>
      </c>
      <c r="O18" s="14">
        <v>38.36</v>
      </c>
      <c r="P18" s="4"/>
      <c r="Q18" s="10">
        <f t="shared" si="2"/>
        <v>460.44000000000011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2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>
        <v>128.4</v>
      </c>
      <c r="M21" s="14">
        <v>385.2</v>
      </c>
      <c r="N21" s="14"/>
      <c r="O21" s="14"/>
      <c r="P21" s="4"/>
      <c r="Q21" s="10">
        <f t="shared" si="2"/>
        <v>7256.3999999999987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>
        <f>6035.85</f>
        <v>6035.85</v>
      </c>
      <c r="O22" s="14">
        <v>13134.27</v>
      </c>
      <c r="P22" s="4"/>
      <c r="Q22" s="10">
        <f t="shared" si="2"/>
        <v>41033.72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>
        <v>2909.1</v>
      </c>
      <c r="M23" s="14">
        <v>2909.1</v>
      </c>
      <c r="N23" s="14">
        <f>2909.1</f>
        <v>2909.1</v>
      </c>
      <c r="O23" s="14">
        <v>2909.1</v>
      </c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>
        <f>2102.4+2084.4</f>
        <v>4186.8</v>
      </c>
      <c r="O25" s="14"/>
      <c r="P25" s="4"/>
      <c r="Q25" s="10">
        <f t="shared" si="2"/>
        <v>15064.8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f>432+432</f>
        <v>864</v>
      </c>
      <c r="K26" s="14"/>
      <c r="L26" s="14">
        <v>432</v>
      </c>
      <c r="M26" s="14">
        <v>432</v>
      </c>
      <c r="N26" s="14">
        <v>432</v>
      </c>
      <c r="O26" s="14">
        <f>432+432</f>
        <v>864</v>
      </c>
      <c r="P26" s="4"/>
      <c r="Q26" s="10">
        <f t="shared" si="2"/>
        <v>4968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2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2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2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2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>
        <f>9.6+58.92+22.99+14.4+23.88</f>
        <v>129.79</v>
      </c>
      <c r="L31" s="14">
        <f>58.92+22.99+14.4+8323+23.88</f>
        <v>8443.1899999999987</v>
      </c>
      <c r="M31" s="14">
        <f>491.88+37.9+58.92+61.6+691.2+288+276+22.99+337.09+337.09+30+23.88</f>
        <v>2656.55</v>
      </c>
      <c r="N31" s="14">
        <f>20.43+378.6+22.99+14.04+47.2+16.8+17.35+23.88+3.2+47.5+7.13+6.75</f>
        <v>605.87000000000012</v>
      </c>
      <c r="O31" s="14">
        <f>12.94+44.88+22.99+169.9+14.04+16.8+23.88+23.88+48.06+76.17</f>
        <v>453.54</v>
      </c>
      <c r="P31" s="4"/>
      <c r="Q31" s="10">
        <f t="shared" si="2"/>
        <v>31348.829999999998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2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L33" s="14"/>
      <c r="M33" s="14"/>
      <c r="N33" s="14"/>
      <c r="O33" s="14">
        <f>7566</f>
        <v>7566</v>
      </c>
      <c r="P33" s="4"/>
      <c r="Q33" s="10">
        <f t="shared" si="2"/>
        <v>168575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>
        <v>60504</v>
      </c>
      <c r="L34" s="14">
        <v>76814</v>
      </c>
      <c r="M34" s="14">
        <v>79752</v>
      </c>
      <c r="N34" s="14">
        <v>86620</v>
      </c>
      <c r="O34" s="14">
        <v>79130</v>
      </c>
      <c r="P34" s="4"/>
      <c r="Q34" s="10">
        <f t="shared" si="2"/>
        <v>840685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>
        <f>10800+1922.4+612+5400+840+3957.6+420+1560+9588+12960+5289.6+14400</f>
        <v>67749.600000000006</v>
      </c>
      <c r="L36" s="14">
        <f>324+2136+840+420+5550+6124.8+5640+4306.8+1092+10800+6000</f>
        <v>43233.599999999999</v>
      </c>
      <c r="M36" s="14">
        <f>4512+420+4888.8+10800+8640+1281.6+12320+11220+5365+11280+14760+10800+11280+2189.4</f>
        <v>109756.79999999999</v>
      </c>
      <c r="N36" s="14">
        <f>12320+11220+15120</f>
        <v>38660</v>
      </c>
      <c r="O36" s="14">
        <f>2242.8+10800+11200+10200+2500+2856.8+16560</f>
        <v>56359.600000000006</v>
      </c>
      <c r="P36" s="4"/>
      <c r="Q36" s="10">
        <f t="shared" si="2"/>
        <v>811325.63999999978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2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>
        <f>2685.31+5247.35+5196.46+4360.65+2747.14+2757.14+4521.55+4604.76+7089.56+5498.07+4644.59+4630.2+5570.28+5078.92+5710.68+5706.2+6034.95+6258.03+4888.08+5158.47+4427.41+4979.43+4662.01+6162.44+4374.14+2785.18+4952.62+5317.16+5108.69+4900.99+5314.33+6668.18+4503.12+5658.36+4408.7+5123.6+4810.64+5334.76+5101.44+4631.17+3101.09+5531.08+5616</f>
        <v>211860.92999999996</v>
      </c>
      <c r="L38" s="14">
        <f>8886.49+4973.9+5138.04+5249.87+4494.72+4679.58+4305.27+4826.63+4793.75+5209.6+4606.18+4160.66+4798.56+5481.88+5488.33+6508.24+5737.82+4500.63+4589.78+5238.81+3495.58+4886.35+4353.96+5763.04+4374.14+4714.45+4772.6+3743.18+6398.38+5314.33+5226.31+4660.79+2799.42+4902.42+5956.78+3042.27+5393.03+7051.17+4985.83+2452.69+5484.76+5219.17+2270.43</f>
        <v>210929.82000000004</v>
      </c>
      <c r="M38" s="14">
        <f>2435.95+1676.51+4808.74+879.99+4429.07+2180.39+5248.87+4494.72+5219.17+5393.03+7051.17+4793.75+5209.6+4606.18+4160.66+4798.56+5481.88+6034.95+4874.84+4500.63+4589.78+4195.58+4886.35+4353.96+5763.04+4374.14+5484.76+5314.33+6398.38+5107.58+5022.67+4461.05+4664.3+4244.14+5018.05+4764.26+5126.58+4570.98+5547.41+7082.29+5490.61+3140.89+5341.18+4777.08+5528.65+2880.88+4985.83</f>
        <v>221393.40999999997</v>
      </c>
      <c r="N38" s="14">
        <f>924.6+885.57+5300.73+3262.8+5107.58+4461.05+5248.87+5126.58+5391.98+4429.07+4570.98+5209.6+2880.88+4985.83+4606.18+4160.66+4798.56+6034.95+4874.84+4589.78+4431.39+5018.05+3140.89+3695.58+4100.33+5230.02+6050.2+5687.24+4707.89+5481.88+4902.42+5488.33+5267.09+4309.71+3853.1+4714.45+4207.84+5168.37+5506.93+3917.62+7004.77+4353.96+5763.04+4374.14+4764.26+5710.67</f>
        <v>213701.26</v>
      </c>
      <c r="O38" s="14">
        <f>6668.94+6003.42+4158.18+4881.62+6907.61+5107.58+4461.05+5248.87+4297.47+4995.46+5358.84+4429.07+4820.18+2880.88+4664.31+4707.89+5209.6+4606.18+4774.06+6034.95+4874.84+4296.67+4418.03+3768.24+4567.54+3945.58+4353.96+2944.66+5763.04+4374.14+4714.45+5055.62+4764.26+4226.89+6386.32+4985.83+5481.88+5795.25+3140.89+5484.76+5314.33+5276.04+3600.3</f>
        <v>207749.68000000008</v>
      </c>
      <c r="P38" s="4"/>
      <c r="Q38" s="10">
        <f t="shared" si="2"/>
        <v>2564976.6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>
        <f>426.23+623.6+305.9+562.4+194.56+510.55+184.97+279.86+329.91+346.84+492.7+1081+740.46+371.86+139.4+489.84+374.89+239.59+344.8+392.47</f>
        <v>8431.83</v>
      </c>
      <c r="L39" s="14">
        <f>649.78+133+562.4+549.16+474.85+257.79+178.2+269.93+322.16+439.15+329+230.02+601.23+167.28+471.28+362.4+223.17+385.6+367.04</f>
        <v>6973.44</v>
      </c>
      <c r="M39" s="14">
        <f>257.08+199.5+644+596.44+474.85+354.9+264.22+309.92+346.84+242.8+752+348.22+629.07+153.34+397.02+630.8+249.94+534.24+256.01+385.6+367.04+397.86+702.14+426.23+305.9+725.6+643.72+346.33+379.17+272.04+329.91+643.05+421.3+1081+371.86+740.46+167.28+526.97+362.4+585.12+412.8+264.22+392.48</f>
        <v>18891.670000000002</v>
      </c>
      <c r="N39" s="14"/>
      <c r="O39" s="14">
        <f>369.5+597.42+252.7+616.8+691.97+549.16+303.49+330.62+248.58+289.92+544.31+349.9+893+324.58+1059.44+629.07+452.72+483.36+249.94+568.58+406+341.6+139.4+256.01</f>
        <v>10948.07</v>
      </c>
      <c r="P39" s="4"/>
      <c r="Q39" s="10">
        <f t="shared" si="2"/>
        <v>115575.98999999999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>
        <f>700</f>
        <v>700</v>
      </c>
      <c r="L40" s="14"/>
      <c r="M40" s="14">
        <v>3000</v>
      </c>
      <c r="N40" s="14">
        <f>500+3000+5000</f>
        <v>8500</v>
      </c>
      <c r="O40" s="14">
        <f>500+1500</f>
        <v>2000</v>
      </c>
      <c r="P40" s="4"/>
      <c r="Q40" s="10">
        <f t="shared" si="2"/>
        <v>29450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>
        <f>1709+1219+189+192.07</f>
        <v>3309.07</v>
      </c>
      <c r="L41" s="14">
        <f>118.79+92.99+86.99</f>
        <v>298.77</v>
      </c>
      <c r="M41" s="14">
        <f>356.99+869</f>
        <v>1225.99</v>
      </c>
      <c r="N41" s="14">
        <f>206.27+1899</f>
        <v>2105.27</v>
      </c>
      <c r="O41" s="14"/>
      <c r="P41" s="4"/>
      <c r="Q41" s="10">
        <f t="shared" si="2"/>
        <v>38479.989999999983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2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2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2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>
        <v>102323</v>
      </c>
      <c r="L45" s="14">
        <f>98745+13</f>
        <v>98758</v>
      </c>
      <c r="M45" s="14">
        <f>100744+19</f>
        <v>100763</v>
      </c>
      <c r="N45" s="14">
        <f>101574+7</f>
        <v>101581</v>
      </c>
      <c r="O45" s="14">
        <v>106441</v>
      </c>
      <c r="P45" s="4"/>
      <c r="Q45" s="10">
        <f t="shared" si="2"/>
        <v>1188922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>
        <v>35512.04</v>
      </c>
      <c r="L46" s="14">
        <v>33221.550000000003</v>
      </c>
      <c r="M46" s="14">
        <v>34823.99</v>
      </c>
      <c r="N46" s="14">
        <v>35085.660000000003</v>
      </c>
      <c r="O46" s="14">
        <v>36872.25</v>
      </c>
      <c r="P46" s="4"/>
      <c r="Q46" s="10">
        <f t="shared" si="2"/>
        <v>413928.78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12075</v>
      </c>
      <c r="K47" s="14"/>
      <c r="L47" s="14"/>
      <c r="M47" s="14">
        <v>12751.2</v>
      </c>
      <c r="N47" s="14"/>
      <c r="O47" s="14"/>
      <c r="P47" s="4"/>
      <c r="Q47" s="10">
        <f t="shared" si="2"/>
        <v>45686.34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>
        <v>9680.85</v>
      </c>
      <c r="K48" s="14"/>
      <c r="L48" s="14"/>
      <c r="M48" s="14">
        <v>9699.51</v>
      </c>
      <c r="N48" s="14"/>
      <c r="O48" s="14"/>
      <c r="P48" s="4"/>
      <c r="Q48" s="10">
        <f t="shared" si="2"/>
        <v>37570.74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>
        <v>16196</v>
      </c>
      <c r="L49" s="14">
        <v>16251</v>
      </c>
      <c r="M49" s="14">
        <v>21478</v>
      </c>
      <c r="N49" s="14">
        <v>21410</v>
      </c>
      <c r="O49" s="14">
        <v>21725</v>
      </c>
      <c r="P49" s="4"/>
      <c r="Q49" s="10">
        <f t="shared" si="2"/>
        <v>205332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I50" si="3">SUM(D17:D49)</f>
        <v>481477.75000000006</v>
      </c>
      <c r="E50" s="8">
        <f t="shared" si="3"/>
        <v>544536.39</v>
      </c>
      <c r="F50" s="8">
        <f t="shared" si="3"/>
        <v>591609.01</v>
      </c>
      <c r="G50" s="8">
        <f t="shared" si="3"/>
        <v>533043.55000000005</v>
      </c>
      <c r="H50" s="8">
        <f t="shared" si="3"/>
        <v>637707.73</v>
      </c>
      <c r="I50" s="8">
        <f t="shared" si="3"/>
        <v>538113.26</v>
      </c>
      <c r="J50" s="8">
        <f t="shared" ref="J50" si="4">SUM(J17:J49)</f>
        <v>590884</v>
      </c>
      <c r="K50" s="8">
        <f t="shared" ref="K50" si="5">SUM(K17:K49)</f>
        <v>506763.82</v>
      </c>
      <c r="L50" s="8">
        <f t="shared" ref="L50:O50" si="6">SUM(L17:L49)</f>
        <v>498440.43000000005</v>
      </c>
      <c r="M50" s="8">
        <f t="shared" si="6"/>
        <v>619976.09999999986</v>
      </c>
      <c r="N50" s="8">
        <f t="shared" si="6"/>
        <v>521890.93000000005</v>
      </c>
      <c r="O50" s="8">
        <f t="shared" si="6"/>
        <v>546210.56000000006</v>
      </c>
      <c r="P50" s="7"/>
      <c r="Q50" s="3">
        <f>+SUM(C50:O50)</f>
        <v>6610653.5299999993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7">C14-C50</f>
        <v>99543.81</v>
      </c>
      <c r="D52" s="46">
        <f t="shared" si="7"/>
        <v>183752.73000000004</v>
      </c>
      <c r="E52" s="46">
        <f t="shared" si="7"/>
        <v>-98423.400000000023</v>
      </c>
      <c r="F52" s="46">
        <f t="shared" si="7"/>
        <v>4032.0400000000373</v>
      </c>
      <c r="G52" s="46">
        <f t="shared" si="7"/>
        <v>120474.04999999993</v>
      </c>
      <c r="H52" s="46">
        <f t="shared" si="7"/>
        <v>-93740.869999999879</v>
      </c>
      <c r="I52" s="46">
        <f t="shared" si="7"/>
        <v>-42402.260000000009</v>
      </c>
      <c r="J52" s="46">
        <f t="shared" si="7"/>
        <v>12287</v>
      </c>
      <c r="K52" s="46">
        <f t="shared" si="7"/>
        <v>33317.73000000004</v>
      </c>
      <c r="L52" s="46">
        <f t="shared" si="7"/>
        <v>-431.6600000000908</v>
      </c>
      <c r="M52" s="46">
        <f t="shared" si="7"/>
        <v>-8327.6099999998696</v>
      </c>
      <c r="N52" s="46">
        <f t="shared" si="7"/>
        <v>-26347.170000000042</v>
      </c>
      <c r="O52" s="46">
        <f t="shared" si="7"/>
        <v>78589.039999999921</v>
      </c>
      <c r="P52" s="47"/>
      <c r="Q52" s="48">
        <f>Q14-Q50</f>
        <v>262323.4299999997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8">F52+E53</f>
        <v>188905.18000000005</v>
      </c>
      <c r="G53" s="46">
        <f t="shared" si="8"/>
        <v>309379.23</v>
      </c>
      <c r="H53" s="46">
        <f t="shared" si="8"/>
        <v>215638.3600000001</v>
      </c>
      <c r="I53" s="46">
        <f t="shared" si="8"/>
        <v>173236.10000000009</v>
      </c>
      <c r="J53" s="46">
        <f t="shared" si="8"/>
        <v>185523.10000000009</v>
      </c>
      <c r="K53" s="46">
        <f t="shared" si="8"/>
        <v>218840.83000000013</v>
      </c>
      <c r="L53" s="46">
        <f t="shared" si="8"/>
        <v>218409.17000000004</v>
      </c>
      <c r="M53" s="46">
        <f t="shared" si="8"/>
        <v>210081.56000000017</v>
      </c>
      <c r="N53" s="46">
        <f t="shared" si="8"/>
        <v>183734.39000000013</v>
      </c>
      <c r="O53" s="46">
        <f t="shared" si="8"/>
        <v>262323.43000000005</v>
      </c>
      <c r="P53" s="47"/>
      <c r="Q53" s="48"/>
    </row>
  </sheetData>
  <mergeCells count="1">
    <mergeCell ref="B2:C3"/>
  </mergeCells>
  <conditionalFormatting sqref="C52:Q53">
    <cfRule type="cellIs" dxfId="51" priority="1" operator="lessThan">
      <formula>0</formula>
    </cfRule>
    <cfRule type="cellIs" dxfId="50" priority="2" operator="greaterThan">
      <formula>0</formula>
    </cfRule>
  </conditionalFormatting>
  <conditionalFormatting sqref="Q50">
    <cfRule type="cellIs" dxfId="49" priority="3" operator="greaterThan">
      <formula>0</formula>
    </cfRule>
    <cfRule type="cellIs" dxfId="48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2245-2643-48D5-A604-618EC7088F06}">
  <dimension ref="B1:Q53"/>
  <sheetViews>
    <sheetView topLeftCell="B1" zoomScale="89" workbookViewId="0">
      <selection activeCell="L40" sqref="L40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2" width="17.5546875" style="2" bestFit="1" customWidth="1"/>
    <col min="13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64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185523.10000000009</v>
      </c>
      <c r="K2" s="49">
        <f t="shared" si="0"/>
        <v>218840.83000000013</v>
      </c>
      <c r="L2" s="49">
        <f t="shared" si="0"/>
        <v>298347.01000000007</v>
      </c>
      <c r="M2" s="49">
        <f t="shared" si="0"/>
        <v>298347.01000000007</v>
      </c>
      <c r="N2" s="49">
        <f t="shared" si="0"/>
        <v>298347.01000000007</v>
      </c>
      <c r="O2" s="49">
        <f t="shared" si="0"/>
        <v>298347.01000000007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f>12240+11880+11832+12240+9072+17280+7722+9180+11328+10200+4872+20592+9792+10800+11856+14520+14820+20808+14688+11016+11400+5724+11556+14472+11136+11016+12960+11232+14040+17640+1818+10080+11520+15960+13200+10098+11448+10890+11628+15120+13137+12960+12240+16680+1428+9936+6000+13200+11172+1854+13248+11016</f>
        <v>602547</v>
      </c>
      <c r="K11" s="29">
        <f>7056+4320+10260+7656+11700+16698+6360+10920+10212+9600+12480+14160+19200+17280+816+22752+12240+12600+4200+5616+12960+1476+7656+13860+13104+6600+14820+16800+6600+12540+12348+10878+6600+8580+12240+996+14400+6480+13260+6840+13608+4800+5520+10008+447.55+13248+5940+5292+16008+10032+6426+9828+11880+11880</f>
        <v>540081.55000000005</v>
      </c>
      <c r="L11" s="28">
        <v>568068.37</v>
      </c>
      <c r="M11" s="29"/>
      <c r="N11" s="29"/>
      <c r="O11" s="28"/>
      <c r="P11" s="25"/>
      <c r="Q11" s="56">
        <f>SUM(C11:O11)</f>
        <v>5094151.7300000004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>
        <v>624</v>
      </c>
      <c r="K12" s="29"/>
      <c r="L12" s="28"/>
      <c r="M12" s="29"/>
      <c r="N12" s="29"/>
      <c r="O12" s="28"/>
      <c r="P12" s="25"/>
      <c r="Q12" s="56">
        <f>SUM(C12:O12)</f>
        <v>12850.17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603171</v>
      </c>
      <c r="K14" s="23">
        <f t="shared" si="1"/>
        <v>540081.55000000005</v>
      </c>
      <c r="L14" s="23">
        <f t="shared" si="1"/>
        <v>568068.37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5211044.71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>
        <f>7.2+2</f>
        <v>9.1999999999999993</v>
      </c>
      <c r="K17" s="14">
        <f>7.2+2</f>
        <v>9.1999999999999993</v>
      </c>
      <c r="L17" s="14">
        <f>7.2+2</f>
        <v>9.1999999999999993</v>
      </c>
      <c r="M17" s="14"/>
      <c r="N17" s="14"/>
      <c r="O17" s="14"/>
      <c r="P17" s="4"/>
      <c r="Q17" s="10">
        <f t="shared" ref="Q17:Q49" si="3">+SUM(C17:O17)</f>
        <v>18221.429999999986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>
        <v>38.36</v>
      </c>
      <c r="L18" s="14">
        <v>38.36</v>
      </c>
      <c r="M18" s="14"/>
      <c r="N18" s="14"/>
      <c r="O18" s="14"/>
      <c r="P18" s="4"/>
      <c r="Q18" s="10">
        <f t="shared" si="3"/>
        <v>345.24000000000007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>
        <v>128.4</v>
      </c>
      <c r="M21" s="14"/>
      <c r="N21" s="14"/>
      <c r="O21" s="14"/>
      <c r="P21" s="4"/>
      <c r="Q21" s="10">
        <f t="shared" si="3"/>
        <v>6871.1999999999989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>
        <v>2909.1</v>
      </c>
      <c r="M23" s="14"/>
      <c r="N23" s="14"/>
      <c r="O23" s="14"/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/>
      <c r="O25" s="14"/>
      <c r="P25" s="4"/>
      <c r="Q25" s="10">
        <f t="shared" si="3"/>
        <v>10878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f>432+432</f>
        <v>864</v>
      </c>
      <c r="K26" s="14"/>
      <c r="L26" s="14">
        <v>432</v>
      </c>
      <c r="M26" s="14"/>
      <c r="N26" s="14"/>
      <c r="O26" s="14"/>
      <c r="P26" s="4"/>
      <c r="Q26" s="10">
        <f t="shared" si="3"/>
        <v>3240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3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>
        <f>9.6+58.92+22.99+14.4+23.88</f>
        <v>129.79</v>
      </c>
      <c r="L31" s="14">
        <f>58.92+22.99+14.4+8323+23.88</f>
        <v>8443.1899999999987</v>
      </c>
      <c r="M31" s="14"/>
      <c r="N31" s="14"/>
      <c r="O31" s="14"/>
      <c r="P31" s="4"/>
      <c r="Q31" s="10">
        <f t="shared" si="3"/>
        <v>27632.87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M33" s="14"/>
      <c r="N33" s="14"/>
      <c r="O33" s="14"/>
      <c r="P33" s="4"/>
      <c r="Q33" s="10">
        <f t="shared" si="3"/>
        <v>161009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>
        <v>60504</v>
      </c>
      <c r="L34" s="14">
        <v>76814</v>
      </c>
      <c r="M34" s="14"/>
      <c r="N34" s="14"/>
      <c r="O34" s="14"/>
      <c r="P34" s="4"/>
      <c r="Q34" s="10">
        <f t="shared" si="3"/>
        <v>595183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>
        <f>10800+1922.4+612+5400+840+3957.6+420+1560+9588+12960+5289.6+14400</f>
        <v>67749.600000000006</v>
      </c>
      <c r="L36" s="14">
        <v>33328.800000000003</v>
      </c>
      <c r="M36" s="14"/>
      <c r="N36" s="14"/>
      <c r="O36" s="14"/>
      <c r="P36" s="4"/>
      <c r="Q36" s="10">
        <f t="shared" si="3"/>
        <v>596644.43999999994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>
        <f>2685.31+5247.35+5196.46+4360.65+2747.14+2757.14+4521.55+4604.76+7089.56+5498.07+4644.59+4630.2+5570.28+5078.92+5710.68+5706.2+6034.95+6258.03+4888.08+5158.47+4427.41+4979.43+4662.01+6162.44+4374.14+2785.18+4952.62+5317.16+5108.69+4900.99+5314.33+6668.18+4503.12+5658.36+4408.7+5123.6+4810.64+5334.76+5101.44+4631.17+3101.09+5531.08+5616</f>
        <v>211860.92999999996</v>
      </c>
      <c r="L38" s="14">
        <f>8886.49+4973.9+5138.04+5249.87+4494.72+4679.58+4305.27+4826.63+4793.75+5209.6+4606.18+4160.66+4798.56+5481.88+5488.33+6508.24+5737.82+4500.63+4589.78+5238.81+3495.58+4886.35+4353.96+5763.04+4374.14+4714.45+4772.6+3743.18+6398.38+5314.33+5226.31+4660.79+2799.42+4902.42+5956.78+3042.27+5393.03+7051.17+4985.83+2452.69+5484.76+5219.17+2270.43</f>
        <v>210929.82000000004</v>
      </c>
      <c r="M38" s="14"/>
      <c r="N38" s="14"/>
      <c r="O38" s="14"/>
      <c r="P38" s="4"/>
      <c r="Q38" s="10">
        <f t="shared" si="3"/>
        <v>1922132.25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>
        <f>426.23+623.6+305.9+562.4+194.56+510.55+184.97+279.86+329.91+346.84+492.7+1081+740.46+371.86+139.4+489.84+374.89+239.59+344.8+392.47</f>
        <v>8431.83</v>
      </c>
      <c r="L39" s="14">
        <v>7000</v>
      </c>
      <c r="M39" s="14"/>
      <c r="N39" s="14"/>
      <c r="O39" s="14"/>
      <c r="P39" s="4"/>
      <c r="Q39" s="10">
        <f t="shared" si="3"/>
        <v>85762.81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>
        <f>700</f>
        <v>700</v>
      </c>
      <c r="L40" s="14"/>
      <c r="M40" s="14"/>
      <c r="N40" s="14"/>
      <c r="O40" s="14"/>
      <c r="P40" s="4"/>
      <c r="Q40" s="10">
        <f t="shared" si="3"/>
        <v>15950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>
        <f>1709+1219+189+192.07</f>
        <v>3309.07</v>
      </c>
      <c r="L41" s="14">
        <f>118.79+92.99+86.99</f>
        <v>298.77</v>
      </c>
      <c r="M41" s="14"/>
      <c r="N41" s="14"/>
      <c r="O41" s="14"/>
      <c r="P41" s="4"/>
      <c r="Q41" s="10">
        <f t="shared" si="3"/>
        <v>35148.729999999989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>
        <v>102323</v>
      </c>
      <c r="L45" s="14">
        <f>98745+13</f>
        <v>98758</v>
      </c>
      <c r="M45" s="14"/>
      <c r="N45" s="14"/>
      <c r="O45" s="14"/>
      <c r="P45" s="4"/>
      <c r="Q45" s="10">
        <f t="shared" si="3"/>
        <v>880137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>
        <v>35512.04</v>
      </c>
      <c r="L46" s="14">
        <v>33221.550000000003</v>
      </c>
      <c r="M46" s="14"/>
      <c r="N46" s="14"/>
      <c r="O46" s="14"/>
      <c r="P46" s="4"/>
      <c r="Q46" s="10">
        <f t="shared" si="3"/>
        <v>307146.88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12075</v>
      </c>
      <c r="K47" s="14"/>
      <c r="L47" s="14"/>
      <c r="M47" s="14"/>
      <c r="N47" s="14"/>
      <c r="O47" s="14"/>
      <c r="P47" s="4"/>
      <c r="Q47" s="10">
        <f t="shared" si="3"/>
        <v>32935.14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>
        <v>9680.85</v>
      </c>
      <c r="K48" s="14"/>
      <c r="L48" s="14"/>
      <c r="M48" s="14"/>
      <c r="N48" s="14"/>
      <c r="O48" s="14"/>
      <c r="P48" s="4"/>
      <c r="Q48" s="10">
        <f t="shared" si="3"/>
        <v>27871.229999999996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>
        <v>16196</v>
      </c>
      <c r="L49" s="14">
        <v>16251</v>
      </c>
      <c r="M49" s="14"/>
      <c r="N49" s="14"/>
      <c r="O49" s="14"/>
      <c r="P49" s="4"/>
      <c r="Q49" s="10">
        <f t="shared" si="3"/>
        <v>140719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I50" si="4">SUM(D17:D49)</f>
        <v>481477.75000000006</v>
      </c>
      <c r="E50" s="8">
        <f t="shared" si="4"/>
        <v>544536.39</v>
      </c>
      <c r="F50" s="8">
        <f t="shared" si="4"/>
        <v>591609.01</v>
      </c>
      <c r="G50" s="8">
        <f t="shared" si="4"/>
        <v>533043.55000000005</v>
      </c>
      <c r="H50" s="8">
        <f t="shared" si="4"/>
        <v>637707.73</v>
      </c>
      <c r="I50" s="8">
        <f t="shared" si="4"/>
        <v>538113.26</v>
      </c>
      <c r="J50" s="8">
        <f t="shared" ref="J50:L50" si="5">SUM(J17:J49)</f>
        <v>590884</v>
      </c>
      <c r="K50" s="8">
        <f t="shared" si="5"/>
        <v>506763.82</v>
      </c>
      <c r="L50" s="8">
        <f t="shared" si="5"/>
        <v>488562.19000000006</v>
      </c>
      <c r="M50" s="8">
        <f t="shared" ref="M50:O50" si="6">M17+M49</f>
        <v>0</v>
      </c>
      <c r="N50" s="8">
        <f t="shared" si="6"/>
        <v>0</v>
      </c>
      <c r="O50" s="8">
        <f t="shared" si="6"/>
        <v>0</v>
      </c>
      <c r="P50" s="7"/>
      <c r="Q50" s="3">
        <f>+SUM(C50:O50)</f>
        <v>4912697.7000000011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7">C14-C50</f>
        <v>99543.81</v>
      </c>
      <c r="D52" s="46">
        <f t="shared" si="7"/>
        <v>183752.73000000004</v>
      </c>
      <c r="E52" s="46">
        <f t="shared" si="7"/>
        <v>-98423.400000000023</v>
      </c>
      <c r="F52" s="46">
        <f t="shared" si="7"/>
        <v>4032.0400000000373</v>
      </c>
      <c r="G52" s="46">
        <f t="shared" si="7"/>
        <v>120474.04999999993</v>
      </c>
      <c r="H52" s="46">
        <f t="shared" si="7"/>
        <v>-93740.869999999879</v>
      </c>
      <c r="I52" s="46">
        <f t="shared" si="7"/>
        <v>-42402.260000000009</v>
      </c>
      <c r="J52" s="46">
        <f t="shared" si="7"/>
        <v>12287</v>
      </c>
      <c r="K52" s="46">
        <f t="shared" si="7"/>
        <v>33317.73000000004</v>
      </c>
      <c r="L52" s="46">
        <f t="shared" si="7"/>
        <v>79506.179999999935</v>
      </c>
      <c r="M52" s="46">
        <f t="shared" si="7"/>
        <v>0</v>
      </c>
      <c r="N52" s="46">
        <f t="shared" si="7"/>
        <v>0</v>
      </c>
      <c r="O52" s="46">
        <f t="shared" si="7"/>
        <v>0</v>
      </c>
      <c r="P52" s="47"/>
      <c r="Q52" s="48">
        <f>Q14-Q50</f>
        <v>298347.00999999885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8">F52+E53</f>
        <v>188905.18000000005</v>
      </c>
      <c r="G53" s="46">
        <f t="shared" si="8"/>
        <v>309379.23</v>
      </c>
      <c r="H53" s="46">
        <f t="shared" si="8"/>
        <v>215638.3600000001</v>
      </c>
      <c r="I53" s="46">
        <f t="shared" si="8"/>
        <v>173236.10000000009</v>
      </c>
      <c r="J53" s="46">
        <f t="shared" si="8"/>
        <v>185523.10000000009</v>
      </c>
      <c r="K53" s="46">
        <f t="shared" si="8"/>
        <v>218840.83000000013</v>
      </c>
      <c r="L53" s="46">
        <f t="shared" si="8"/>
        <v>298347.01000000007</v>
      </c>
      <c r="M53" s="46">
        <f t="shared" si="8"/>
        <v>298347.01000000007</v>
      </c>
      <c r="N53" s="46">
        <f t="shared" si="8"/>
        <v>298347.01000000007</v>
      </c>
      <c r="O53" s="46">
        <f t="shared" si="8"/>
        <v>298347.01000000007</v>
      </c>
      <c r="P53" s="47"/>
      <c r="Q53" s="48"/>
    </row>
  </sheetData>
  <mergeCells count="1">
    <mergeCell ref="B2:C3"/>
  </mergeCells>
  <conditionalFormatting sqref="C52:Q53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Q50">
    <cfRule type="cellIs" dxfId="13" priority="3" operator="greaterThan">
      <formula>0</formula>
    </cfRule>
    <cfRule type="cellIs" dxfId="12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4305-3C88-4AEC-B775-C8A385E56B04}">
  <dimension ref="B1:Q53"/>
  <sheetViews>
    <sheetView topLeftCell="B1" zoomScale="89" workbookViewId="0">
      <selection activeCell="H40" sqref="H40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4" width="17.554687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66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185523.10000000009</v>
      </c>
      <c r="K2" s="49">
        <f t="shared" si="0"/>
        <v>218840.83000000013</v>
      </c>
      <c r="L2" s="49">
        <f t="shared" si="0"/>
        <v>218409.17000000004</v>
      </c>
      <c r="M2" s="49">
        <f t="shared" si="0"/>
        <v>210848.16000000003</v>
      </c>
      <c r="N2" s="49">
        <f t="shared" si="0"/>
        <v>210848.16000000003</v>
      </c>
      <c r="O2" s="49">
        <f t="shared" si="0"/>
        <v>210848.16000000003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f>12240+11880+11832+12240+9072+17280+7722+9180+11328+10200+4872+20592+9792+10800+11856+14520+14820+20808+14688+11016+11400+5724+11556+14472+11136+11016+12960+11232+14040+17640+1818+10080+11520+15960+13200+10098+11448+10890+11628+15120+13137+12960+12240+16680+1428+9936+6000+13200+11172+1854+13248+11016</f>
        <v>602547</v>
      </c>
      <c r="K11" s="29">
        <f>7056+4320+10260+7656+11700+16698+6360+10920+10212+9600+12480+14160+19200+17280+816+22752+12240+12600+4200+5616+12960+1476+7656+13860+13104+6600+14820+16800+6600+12540+12348+10878+6600+8580+12240+996+14400+6480+13260+6840+13608+4800+5520+10008+447.55+13248+5940+5292+16008+10032+6426+9828+11880+11880</f>
        <v>540081.55000000005</v>
      </c>
      <c r="L11" s="28">
        <f>12840+16320+10800+16284+15897.6+12600+15093+8100+14352+2184+9990+15120+17550+5082+22896+12840+19872+12600+14904+16560+17940+14628+16008+14352+14076+11016+5760+13158+12852+5400+11136+12960+8568+11220+17097+5400+7728+9828+437.17+16560</f>
        <v>498008.76999999996</v>
      </c>
      <c r="M11" s="29">
        <v>528661.49</v>
      </c>
      <c r="N11" s="29"/>
      <c r="O11" s="28"/>
      <c r="P11" s="25"/>
      <c r="Q11" s="56">
        <f>SUM(C11:O11)</f>
        <v>5552753.6200000001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>
        <v>624</v>
      </c>
      <c r="K12" s="29"/>
      <c r="L12" s="28"/>
      <c r="M12" s="29"/>
      <c r="N12" s="29"/>
      <c r="O12" s="28"/>
      <c r="P12" s="25"/>
      <c r="Q12" s="56">
        <f>SUM(C12:O12)</f>
        <v>12850.17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M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603171</v>
      </c>
      <c r="K14" s="23">
        <f t="shared" si="1"/>
        <v>540081.55000000005</v>
      </c>
      <c r="L14" s="23">
        <f t="shared" si="1"/>
        <v>498008.76999999996</v>
      </c>
      <c r="M14" s="23">
        <f t="shared" si="1"/>
        <v>528661.49</v>
      </c>
      <c r="N14" s="23">
        <f t="shared" ref="N14:O14" si="2">N6+N13</f>
        <v>0</v>
      </c>
      <c r="O14" s="23">
        <f t="shared" si="2"/>
        <v>0</v>
      </c>
      <c r="P14" s="22"/>
      <c r="Q14" s="60">
        <f>SUM(C14:O14)</f>
        <v>5669646.5999999996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>
        <f>7.2+2</f>
        <v>9.1999999999999993</v>
      </c>
      <c r="K17" s="14">
        <f>7.2+2</f>
        <v>9.1999999999999993</v>
      </c>
      <c r="L17" s="14">
        <f>7.2+2</f>
        <v>9.1999999999999993</v>
      </c>
      <c r="M17" s="14">
        <f>7.2</f>
        <v>7.2</v>
      </c>
      <c r="N17" s="14"/>
      <c r="O17" s="14"/>
      <c r="P17" s="4"/>
      <c r="Q17" s="10">
        <f t="shared" ref="Q17:Q49" si="3">+SUM(C17:O17)</f>
        <v>18228.629999999986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>
        <v>38.36</v>
      </c>
      <c r="L18" s="14">
        <v>38.36</v>
      </c>
      <c r="M18" s="14">
        <v>38.36</v>
      </c>
      <c r="N18" s="14"/>
      <c r="O18" s="14"/>
      <c r="P18" s="4"/>
      <c r="Q18" s="10">
        <f t="shared" si="3"/>
        <v>383.60000000000008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>
        <v>128.4</v>
      </c>
      <c r="M21" s="14">
        <v>385.2</v>
      </c>
      <c r="N21" s="14"/>
      <c r="O21" s="14"/>
      <c r="P21" s="4"/>
      <c r="Q21" s="10">
        <f t="shared" si="3"/>
        <v>7256.3999999999987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>
        <v>2909.1</v>
      </c>
      <c r="M23" s="14">
        <v>2909.1</v>
      </c>
      <c r="N23" s="14"/>
      <c r="O23" s="14"/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/>
      <c r="O25" s="14"/>
      <c r="P25" s="4"/>
      <c r="Q25" s="10">
        <f t="shared" si="3"/>
        <v>10878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f>432+432</f>
        <v>864</v>
      </c>
      <c r="K26" s="14"/>
      <c r="L26" s="14">
        <v>432</v>
      </c>
      <c r="M26" s="14">
        <v>432</v>
      </c>
      <c r="N26" s="14"/>
      <c r="O26" s="14"/>
      <c r="P26" s="4"/>
      <c r="Q26" s="10">
        <f t="shared" si="3"/>
        <v>3672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3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>
        <f>9.6+58.92+22.99+14.4+23.88</f>
        <v>129.79</v>
      </c>
      <c r="L31" s="14">
        <f>58.92+22.99+14.4+8323+23.88</f>
        <v>8443.1899999999987</v>
      </c>
      <c r="M31" s="14">
        <f>491.88+37.9+23.88</f>
        <v>553.66</v>
      </c>
      <c r="N31" s="14"/>
      <c r="O31" s="14"/>
      <c r="P31" s="4"/>
      <c r="Q31" s="10">
        <f t="shared" si="3"/>
        <v>28186.53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L33" s="14"/>
      <c r="M33" s="14"/>
      <c r="N33" s="14"/>
      <c r="O33" s="14"/>
      <c r="P33" s="4"/>
      <c r="Q33" s="10">
        <f t="shared" si="3"/>
        <v>161009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>
        <v>60504</v>
      </c>
      <c r="L34" s="14">
        <v>76814</v>
      </c>
      <c r="M34" s="14">
        <v>79752</v>
      </c>
      <c r="N34" s="14"/>
      <c r="O34" s="14"/>
      <c r="P34" s="4"/>
      <c r="Q34" s="10">
        <f t="shared" si="3"/>
        <v>674935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>
        <f>10800+1922.4+612+5400+840+3957.6+420+1560+9588+12960+5289.6+14400</f>
        <v>67749.600000000006</v>
      </c>
      <c r="L36" s="14">
        <f>324+2136+840+420+5550+6124.8+5640+4306.8+1092+10800+6000</f>
        <v>43233.599999999999</v>
      </c>
      <c r="M36" s="14">
        <f>29237.4+10800</f>
        <v>40037.4</v>
      </c>
      <c r="N36" s="14"/>
      <c r="O36" s="14"/>
      <c r="P36" s="4"/>
      <c r="Q36" s="10">
        <f t="shared" si="3"/>
        <v>646586.6399999999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>
        <f>2685.31+5247.35+5196.46+4360.65+2747.14+2757.14+4521.55+4604.76+7089.56+5498.07+4644.59+4630.2+5570.28+5078.92+5710.68+5706.2+6034.95+6258.03+4888.08+5158.47+4427.41+4979.43+4662.01+6162.44+4374.14+2785.18+4952.62+5317.16+5108.69+4900.99+5314.33+6668.18+4503.12+5658.36+4408.7+5123.6+4810.64+5334.76+5101.44+4631.17+3101.09+5531.08+5616</f>
        <v>211860.92999999996</v>
      </c>
      <c r="L38" s="14">
        <f>8886.49+4973.9+5138.04+5249.87+4494.72+4679.58+4305.27+4826.63+4793.75+5209.6+4606.18+4160.66+4798.56+5481.88+5488.33+6508.24+5737.82+4500.63+4589.78+5238.81+3495.58+4886.35+4353.96+5763.04+4374.14+4714.45+4772.6+3743.18+6398.38+5314.33+5226.31+4660.79+2799.42+4902.42+5956.78+3042.27+5393.03+7051.17+4985.83+2452.69+5484.76+5219.17+2270.43</f>
        <v>210929.82000000004</v>
      </c>
      <c r="M38" s="14">
        <f>2435.95+1676.51+4808.74+879.99+214000</f>
        <v>223801.19</v>
      </c>
      <c r="N38" s="14"/>
      <c r="O38" s="14"/>
      <c r="P38" s="4"/>
      <c r="Q38" s="10">
        <f t="shared" si="3"/>
        <v>2145933.44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>
        <f>426.23+623.6+305.9+562.4+194.56+510.55+184.97+279.86+329.91+346.84+492.7+1081+740.46+371.86+139.4+489.84+374.89+239.59+344.8+392.47</f>
        <v>8431.83</v>
      </c>
      <c r="L39" s="14">
        <f>649.78+133+562.4+549.16+474.85+257.79+178.2+269.93+322.16+439.15+329+230.02+601.23+167.28+471.28+362.4+223.17+385.6+367.04</f>
        <v>6973.44</v>
      </c>
      <c r="M39" s="14">
        <f>257.08+199.5+644+596.44+474.85+354.9+264.22+309.92+346.84+242.8+752+348.22+629.07+153.34+397.02+630.8+249.94+534.24+256.01+385.6+367.04+397.86</f>
        <v>8791.6900000000023</v>
      </c>
      <c r="N39" s="14"/>
      <c r="O39" s="14"/>
      <c r="P39" s="4"/>
      <c r="Q39" s="10">
        <f t="shared" si="3"/>
        <v>94527.94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>
        <f>700</f>
        <v>700</v>
      </c>
      <c r="L40" s="14"/>
      <c r="M40" s="14"/>
      <c r="N40" s="14"/>
      <c r="O40" s="14"/>
      <c r="P40" s="4"/>
      <c r="Q40" s="10">
        <f t="shared" si="3"/>
        <v>15950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>
        <f>1709+1219+189+192.07</f>
        <v>3309.07</v>
      </c>
      <c r="L41" s="14">
        <f>118.79+92.99+86.99</f>
        <v>298.77</v>
      </c>
      <c r="M41" s="14"/>
      <c r="N41" s="14"/>
      <c r="O41" s="14"/>
      <c r="P41" s="4"/>
      <c r="Q41" s="10">
        <f t="shared" si="3"/>
        <v>35148.729999999989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>
        <v>102323</v>
      </c>
      <c r="L45" s="14">
        <f>98745+13</f>
        <v>98758</v>
      </c>
      <c r="M45" s="14">
        <f>100743+19</f>
        <v>100762</v>
      </c>
      <c r="N45" s="14"/>
      <c r="O45" s="14"/>
      <c r="P45" s="4"/>
      <c r="Q45" s="10">
        <f t="shared" si="3"/>
        <v>980899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>
        <v>35512.04</v>
      </c>
      <c r="L46" s="14">
        <v>33221.550000000003</v>
      </c>
      <c r="M46" s="14">
        <v>34823.99</v>
      </c>
      <c r="N46" s="14"/>
      <c r="O46" s="14"/>
      <c r="P46" s="4"/>
      <c r="Q46" s="10">
        <f t="shared" si="3"/>
        <v>341970.87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12075</v>
      </c>
      <c r="K47" s="14"/>
      <c r="L47" s="14"/>
      <c r="M47" s="14">
        <v>22450.71</v>
      </c>
      <c r="N47" s="14"/>
      <c r="O47" s="14"/>
      <c r="P47" s="4"/>
      <c r="Q47" s="10">
        <f t="shared" si="3"/>
        <v>55385.85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>
        <v>9680.85</v>
      </c>
      <c r="K48" s="14"/>
      <c r="L48" s="14"/>
      <c r="M48" s="14"/>
      <c r="N48" s="14"/>
      <c r="O48" s="14"/>
      <c r="P48" s="4"/>
      <c r="Q48" s="10">
        <f t="shared" si="3"/>
        <v>27871.229999999996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>
        <v>16196</v>
      </c>
      <c r="L49" s="14">
        <v>16251</v>
      </c>
      <c r="M49" s="14">
        <v>21478</v>
      </c>
      <c r="N49" s="14"/>
      <c r="O49" s="14"/>
      <c r="P49" s="4"/>
      <c r="Q49" s="10">
        <f t="shared" si="3"/>
        <v>162197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I50" si="4">SUM(D17:D49)</f>
        <v>481477.75000000006</v>
      </c>
      <c r="E50" s="8">
        <f t="shared" si="4"/>
        <v>544536.39</v>
      </c>
      <c r="F50" s="8">
        <f t="shared" si="4"/>
        <v>591609.01</v>
      </c>
      <c r="G50" s="8">
        <f t="shared" si="4"/>
        <v>533043.55000000005</v>
      </c>
      <c r="H50" s="8">
        <f t="shared" si="4"/>
        <v>637707.73</v>
      </c>
      <c r="I50" s="8">
        <f t="shared" si="4"/>
        <v>538113.26</v>
      </c>
      <c r="J50" s="8">
        <f t="shared" ref="J50:M50" si="5">SUM(J17:J49)</f>
        <v>590884</v>
      </c>
      <c r="K50" s="8">
        <f t="shared" si="5"/>
        <v>506763.82</v>
      </c>
      <c r="L50" s="8">
        <f t="shared" si="5"/>
        <v>498440.43000000005</v>
      </c>
      <c r="M50" s="8">
        <f t="shared" si="5"/>
        <v>536222.5</v>
      </c>
      <c r="N50" s="8">
        <f t="shared" ref="N50:O50" si="6">N17+N49</f>
        <v>0</v>
      </c>
      <c r="O50" s="8">
        <f t="shared" si="6"/>
        <v>0</v>
      </c>
      <c r="P50" s="7"/>
      <c r="Q50" s="3">
        <f>+SUM(C50:O50)</f>
        <v>5458798.4400000004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7">C14-C50</f>
        <v>99543.81</v>
      </c>
      <c r="D52" s="46">
        <f t="shared" si="7"/>
        <v>183752.73000000004</v>
      </c>
      <c r="E52" s="46">
        <f t="shared" si="7"/>
        <v>-98423.400000000023</v>
      </c>
      <c r="F52" s="46">
        <f t="shared" si="7"/>
        <v>4032.0400000000373</v>
      </c>
      <c r="G52" s="46">
        <f t="shared" si="7"/>
        <v>120474.04999999993</v>
      </c>
      <c r="H52" s="46">
        <f t="shared" si="7"/>
        <v>-93740.869999999879</v>
      </c>
      <c r="I52" s="46">
        <f t="shared" si="7"/>
        <v>-42402.260000000009</v>
      </c>
      <c r="J52" s="46">
        <f t="shared" si="7"/>
        <v>12287</v>
      </c>
      <c r="K52" s="46">
        <f t="shared" si="7"/>
        <v>33317.73000000004</v>
      </c>
      <c r="L52" s="46">
        <f t="shared" si="7"/>
        <v>-431.6600000000908</v>
      </c>
      <c r="M52" s="46">
        <f t="shared" si="7"/>
        <v>-7561.0100000000093</v>
      </c>
      <c r="N52" s="46">
        <f t="shared" si="7"/>
        <v>0</v>
      </c>
      <c r="O52" s="46">
        <f t="shared" si="7"/>
        <v>0</v>
      </c>
      <c r="P52" s="47"/>
      <c r="Q52" s="48">
        <f>Q14-Q50</f>
        <v>210848.15999999922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8">F52+E53</f>
        <v>188905.18000000005</v>
      </c>
      <c r="G53" s="46">
        <f t="shared" si="8"/>
        <v>309379.23</v>
      </c>
      <c r="H53" s="46">
        <f t="shared" si="8"/>
        <v>215638.3600000001</v>
      </c>
      <c r="I53" s="46">
        <f t="shared" si="8"/>
        <v>173236.10000000009</v>
      </c>
      <c r="J53" s="46">
        <f t="shared" si="8"/>
        <v>185523.10000000009</v>
      </c>
      <c r="K53" s="46">
        <f t="shared" si="8"/>
        <v>218840.83000000013</v>
      </c>
      <c r="L53" s="46">
        <f t="shared" si="8"/>
        <v>218409.17000000004</v>
      </c>
      <c r="M53" s="46">
        <f t="shared" si="8"/>
        <v>210848.16000000003</v>
      </c>
      <c r="N53" s="46">
        <f t="shared" si="8"/>
        <v>210848.16000000003</v>
      </c>
      <c r="O53" s="46">
        <f t="shared" si="8"/>
        <v>210848.16000000003</v>
      </c>
      <c r="P53" s="47"/>
      <c r="Q53" s="48"/>
    </row>
  </sheetData>
  <mergeCells count="1">
    <mergeCell ref="B2:C3"/>
  </mergeCells>
  <conditionalFormatting sqref="C52:Q53">
    <cfRule type="cellIs" dxfId="11" priority="1" operator="lessThan">
      <formula>0</formula>
    </cfRule>
    <cfRule type="cellIs" dxfId="10" priority="2" operator="greaterThan">
      <formula>0</formula>
    </cfRule>
  </conditionalFormatting>
  <conditionalFormatting sqref="Q50">
    <cfRule type="cellIs" dxfId="9" priority="3" operator="greaterThan">
      <formula>0</formula>
    </cfRule>
    <cfRule type="cellIs" dxfId="8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AA5D-D08B-4B50-9CCF-103F5327C397}">
  <dimension ref="B1:Q53"/>
  <sheetViews>
    <sheetView zoomScale="89" workbookViewId="0">
      <selection activeCell="M50" sqref="M50:N50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4" width="17.554687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67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185523.10000000009</v>
      </c>
      <c r="K2" s="49">
        <f t="shared" si="0"/>
        <v>218840.83000000013</v>
      </c>
      <c r="L2" s="49">
        <f t="shared" si="0"/>
        <v>218409.17000000004</v>
      </c>
      <c r="M2" s="49">
        <f t="shared" si="0"/>
        <v>210081.56000000017</v>
      </c>
      <c r="N2" s="49">
        <f t="shared" si="0"/>
        <v>685387.69000000018</v>
      </c>
      <c r="O2" s="49">
        <f t="shared" si="0"/>
        <v>685387.69000000018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f>12240+11880+11832+12240+9072+17280+7722+9180+11328+10200+4872+20592+9792+10800+11856+14520+14820+20808+14688+11016+11400+5724+11556+14472+11136+11016+12960+11232+14040+17640+1818+10080+11520+15960+13200+10098+11448+10890+11628+15120+13137+12960+12240+16680+1428+9936+6000+13200+11172+1854+13248+11016</f>
        <v>602547</v>
      </c>
      <c r="K11" s="29">
        <f>7056+4320+10260+7656+11700+16698+6360+10920+10212+9600+12480+14160+19200+17280+816+22752+12240+12600+4200+5616+12960+1476+7656+13860+13104+6600+14820+16800+6600+12540+12348+10878+6600+8580+12240+996+14400+6480+13260+6840+13608+4800+5520+10008+447.55+13248+5940+5292+16008+10032+6426+9828+11880+11880</f>
        <v>540081.55000000005</v>
      </c>
      <c r="L11" s="28">
        <f>12840+16320+10800+16284+15897.6+12600+15093+8100+14352+2184+9990+15120+17550+5082+22896+12840+19872+12600+14904+16560+17940+14628+16008+14352+14076+11016+5760+13158+12852+5400+11136+12960+8568+11220+17097+5400+7728+9828+437.17+16560</f>
        <v>498008.76999999996</v>
      </c>
      <c r="M11" s="29">
        <f>12000+14400+12144+15180+12900+11880+11016+2448+7200+22632+3600+10200+14616+13104+802.29+11616+14868+12000+24192+3840+1536+10368+10800+7920+12240+11016+13482+10260+7800+12480+13356+18547.2+14616+14391+16380+12000+5760+12096+15120+11322+6120+11316+12000+17514+10368+5940+6270+9324+12540+10560+15876+6732+13200+11760</f>
        <v>611648.49</v>
      </c>
      <c r="N11" s="29">
        <v>583823.35999999999</v>
      </c>
      <c r="O11" s="28"/>
      <c r="P11" s="25"/>
      <c r="Q11" s="56">
        <f>SUM(C11:O11)</f>
        <v>6219563.9800000004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>
        <v>624</v>
      </c>
      <c r="K12" s="29"/>
      <c r="L12" s="28"/>
      <c r="M12" s="29"/>
      <c r="N12" s="29"/>
      <c r="O12" s="28"/>
      <c r="P12" s="25"/>
      <c r="Q12" s="56">
        <f>SUM(C12:O12)</f>
        <v>12850.17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N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603171</v>
      </c>
      <c r="K14" s="23">
        <f t="shared" si="1"/>
        <v>540081.55000000005</v>
      </c>
      <c r="L14" s="23">
        <f t="shared" si="1"/>
        <v>498008.76999999996</v>
      </c>
      <c r="M14" s="23">
        <f t="shared" si="1"/>
        <v>611648.49</v>
      </c>
      <c r="N14" s="23">
        <f t="shared" si="1"/>
        <v>583823.35999999999</v>
      </c>
      <c r="O14" s="23">
        <f t="shared" ref="O14" si="2">O6+O13</f>
        <v>0</v>
      </c>
      <c r="P14" s="22"/>
      <c r="Q14" s="60">
        <f>SUM(C14:O14)</f>
        <v>6336456.96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>
        <f>7.2+2</f>
        <v>9.1999999999999993</v>
      </c>
      <c r="K17" s="14">
        <f>7.2+2</f>
        <v>9.1999999999999993</v>
      </c>
      <c r="L17" s="14">
        <f>7.2+2</f>
        <v>9.1999999999999993</v>
      </c>
      <c r="M17" s="14">
        <f>7.2+2+5+5</f>
        <v>19.2</v>
      </c>
      <c r="N17" s="14">
        <f>7.2</f>
        <v>7.2</v>
      </c>
      <c r="O17" s="14"/>
      <c r="P17" s="4"/>
      <c r="Q17" s="10">
        <f t="shared" ref="Q17:Q49" si="3">+SUM(C17:O17)</f>
        <v>18247.829999999987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>
        <v>38.36</v>
      </c>
      <c r="L18" s="14">
        <v>38.36</v>
      </c>
      <c r="M18" s="14">
        <v>38.479999999999997</v>
      </c>
      <c r="N18" s="14"/>
      <c r="O18" s="14"/>
      <c r="P18" s="4"/>
      <c r="Q18" s="10">
        <f t="shared" si="3"/>
        <v>383.72000000000008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>
        <v>128.4</v>
      </c>
      <c r="M21" s="14">
        <v>385.2</v>
      </c>
      <c r="N21" s="14"/>
      <c r="O21" s="14"/>
      <c r="P21" s="4"/>
      <c r="Q21" s="10">
        <f t="shared" si="3"/>
        <v>7256.3999999999987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>
        <v>2909.1</v>
      </c>
      <c r="M23" s="14">
        <v>2909.1</v>
      </c>
      <c r="N23" s="14"/>
      <c r="O23" s="14"/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>
        <f>2102.4+2084.4</f>
        <v>4186.8</v>
      </c>
      <c r="O25" s="14"/>
      <c r="P25" s="4"/>
      <c r="Q25" s="10">
        <f t="shared" si="3"/>
        <v>15064.8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f>432+432</f>
        <v>864</v>
      </c>
      <c r="K26" s="14"/>
      <c r="L26" s="14">
        <v>432</v>
      </c>
      <c r="M26" s="14">
        <v>432</v>
      </c>
      <c r="N26" s="14">
        <v>432</v>
      </c>
      <c r="O26" s="14"/>
      <c r="P26" s="4"/>
      <c r="Q26" s="10">
        <f t="shared" si="3"/>
        <v>4104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3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>
        <f>9.6+58.92+22.99+14.4+23.88</f>
        <v>129.79</v>
      </c>
      <c r="L31" s="14">
        <f>58.92+22.99+14.4+8323+23.88</f>
        <v>8443.1899999999987</v>
      </c>
      <c r="M31" s="14">
        <f>491.88+37.9+58.92+61.6+691.2+288+276+22.99+337.09+337.09+30+23.88</f>
        <v>2656.55</v>
      </c>
      <c r="N31" s="14">
        <f>20.43+378.6+22.99+14.04+47.2+16.8</f>
        <v>500.06000000000006</v>
      </c>
      <c r="O31" s="14"/>
      <c r="P31" s="4"/>
      <c r="Q31" s="10">
        <f t="shared" si="3"/>
        <v>30789.48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L33" s="14"/>
      <c r="M33" s="14"/>
      <c r="N33" s="14"/>
      <c r="O33" s="14"/>
      <c r="P33" s="4"/>
      <c r="Q33" s="10">
        <f t="shared" si="3"/>
        <v>161009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>
        <v>60504</v>
      </c>
      <c r="L34" s="14">
        <v>76814</v>
      </c>
      <c r="M34" s="14">
        <v>79752</v>
      </c>
      <c r="N34" s="14"/>
      <c r="O34" s="14"/>
      <c r="P34" s="4"/>
      <c r="Q34" s="10">
        <f t="shared" si="3"/>
        <v>674935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>
        <f>10800+1922.4+612+5400+840+3957.6+420+1560+9588+12960+5289.6+14400</f>
        <v>67749.600000000006</v>
      </c>
      <c r="L36" s="14">
        <f>324+2136+840+420+5550+6124.8+5640+4306.8+1092+10800+6000</f>
        <v>43233.599999999999</v>
      </c>
      <c r="M36" s="14">
        <f>4512+420+4888.8+10800+8640+1281.6+12320+11220+5365+11280+14760+10800+11280+2189.4</f>
        <v>109756.79999999999</v>
      </c>
      <c r="N36" s="14"/>
      <c r="O36" s="14"/>
      <c r="P36" s="4"/>
      <c r="Q36" s="10">
        <f t="shared" si="3"/>
        <v>716306.0399999998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>
        <f>2685.31+5247.35+5196.46+4360.65+2747.14+2757.14+4521.55+4604.76+7089.56+5498.07+4644.59+4630.2+5570.28+5078.92+5710.68+5706.2+6034.95+6258.03+4888.08+5158.47+4427.41+4979.43+4662.01+6162.44+4374.14+2785.18+4952.62+5317.16+5108.69+4900.99+5314.33+6668.18+4503.12+5658.36+4408.7+5123.6+4810.64+5334.76+5101.44+4631.17+3101.09+5531.08+5616</f>
        <v>211860.92999999996</v>
      </c>
      <c r="L38" s="14">
        <f>8886.49+4973.9+5138.04+5249.87+4494.72+4679.58+4305.27+4826.63+4793.75+5209.6+4606.18+4160.66+4798.56+5481.88+5488.33+6508.24+5737.82+4500.63+4589.78+5238.81+3495.58+4886.35+4353.96+5763.04+4374.14+4714.45+4772.6+3743.18+6398.38+5314.33+5226.31+4660.79+2799.42+4902.42+5956.78+3042.27+5393.03+7051.17+4985.83+2452.69+5484.76+5219.17+2270.43</f>
        <v>210929.82000000004</v>
      </c>
      <c r="M38" s="14">
        <f>2435.95+1676.51+4808.74+879.99+4429.07+2180.39+5248.87+4494.72+5219.17+5393.03+7051.17+4793.75+5209.6+4606.18+4160.66+4798.56+5481.88+6034.95+4874.84+4500.63+4589.78+4195.58+4886.35+4353.96+5763.04+4374.14+5484.76+5314.33+6398.38+5107.58+5022.67+4461.05+4664.3+4244.14+5018.05+4764.26+5126.58+4570.98+5547.41+7082.29+5490.61+3140.89+5341.18+4777.08+5528.65+2880.88+4985.83</f>
        <v>221393.40999999997</v>
      </c>
      <c r="N38" s="14">
        <f>924.6+885.57</f>
        <v>1810.17</v>
      </c>
      <c r="O38" s="14"/>
      <c r="P38" s="4"/>
      <c r="Q38" s="10">
        <f t="shared" si="3"/>
        <v>2145335.83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>
        <f>426.23+623.6+305.9+562.4+194.56+510.55+184.97+279.86+329.91+346.84+492.7+1081+740.46+371.86+139.4+489.84+374.89+239.59+344.8+392.47</f>
        <v>8431.83</v>
      </c>
      <c r="L39" s="14">
        <f>649.78+133+562.4+549.16+474.85+257.79+178.2+269.93+322.16+439.15+329+230.02+601.23+167.28+471.28+362.4+223.17+385.6+367.04</f>
        <v>6973.44</v>
      </c>
      <c r="M39" s="14">
        <f>257.08+199.5+644+596.44+474.85+354.9+264.22+309.92+346.84+242.8+752+348.22+629.07+153.34+397.02+630.8+249.94+534.24+256.01+385.6+367.04+397.86+702.14+426.23+305.9+725.6+643.72+346.33+379.17+272.04+329.91+643.05+421.3+1081+371.86+740.46+167.28+526.97+362.4+585.12+412.8+264.22+392.48</f>
        <v>18891.670000000002</v>
      </c>
      <c r="N39" s="14"/>
      <c r="O39" s="14"/>
      <c r="P39" s="4"/>
      <c r="Q39" s="10">
        <f t="shared" si="3"/>
        <v>104627.92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>
        <f>700</f>
        <v>700</v>
      </c>
      <c r="L40" s="14"/>
      <c r="M40" s="14">
        <v>3000</v>
      </c>
      <c r="N40" s="14"/>
      <c r="O40" s="14"/>
      <c r="P40" s="4"/>
      <c r="Q40" s="10">
        <f t="shared" si="3"/>
        <v>18950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>
        <f>1709+1219+189+192.07</f>
        <v>3309.07</v>
      </c>
      <c r="L41" s="14">
        <f>118.79+92.99+86.99</f>
        <v>298.77</v>
      </c>
      <c r="M41" s="14">
        <f>356.99+869</f>
        <v>1225.99</v>
      </c>
      <c r="N41" s="14"/>
      <c r="O41" s="14"/>
      <c r="P41" s="4"/>
      <c r="Q41" s="10">
        <f t="shared" si="3"/>
        <v>36374.719999999987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>
        <v>102323</v>
      </c>
      <c r="L45" s="14">
        <f>98745+13</f>
        <v>98758</v>
      </c>
      <c r="M45" s="14">
        <f>100744+19</f>
        <v>100763</v>
      </c>
      <c r="N45" s="14">
        <f>101574+7</f>
        <v>101581</v>
      </c>
      <c r="O45" s="14"/>
      <c r="P45" s="4"/>
      <c r="Q45" s="10">
        <f t="shared" si="3"/>
        <v>1082481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>
        <v>35512.04</v>
      </c>
      <c r="L46" s="14">
        <v>33221.550000000003</v>
      </c>
      <c r="M46" s="14">
        <v>34823.99</v>
      </c>
      <c r="N46" s="14"/>
      <c r="O46" s="14"/>
      <c r="P46" s="4"/>
      <c r="Q46" s="10">
        <f t="shared" si="3"/>
        <v>341970.87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12075</v>
      </c>
      <c r="K47" s="14"/>
      <c r="L47" s="14"/>
      <c r="M47" s="14">
        <v>12751.2</v>
      </c>
      <c r="N47" s="14"/>
      <c r="O47" s="14"/>
      <c r="P47" s="4"/>
      <c r="Q47" s="10">
        <f t="shared" si="3"/>
        <v>45686.34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>
        <v>9680.85</v>
      </c>
      <c r="K48" s="14"/>
      <c r="L48" s="14"/>
      <c r="M48" s="14">
        <v>9699.51</v>
      </c>
      <c r="N48" s="14"/>
      <c r="O48" s="14"/>
      <c r="P48" s="4"/>
      <c r="Q48" s="10">
        <f t="shared" si="3"/>
        <v>37570.74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>
        <v>16196</v>
      </c>
      <c r="L49" s="14">
        <v>16251</v>
      </c>
      <c r="M49" s="14">
        <v>21478</v>
      </c>
      <c r="N49" s="14"/>
      <c r="O49" s="14"/>
      <c r="P49" s="4"/>
      <c r="Q49" s="10">
        <f t="shared" si="3"/>
        <v>162197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I50" si="4">SUM(D17:D49)</f>
        <v>481477.75000000006</v>
      </c>
      <c r="E50" s="8">
        <f t="shared" si="4"/>
        <v>544536.39</v>
      </c>
      <c r="F50" s="8">
        <f t="shared" si="4"/>
        <v>591609.01</v>
      </c>
      <c r="G50" s="8">
        <f t="shared" si="4"/>
        <v>533043.55000000005</v>
      </c>
      <c r="H50" s="8">
        <f t="shared" si="4"/>
        <v>637707.73</v>
      </c>
      <c r="I50" s="8">
        <f t="shared" si="4"/>
        <v>538113.26</v>
      </c>
      <c r="J50" s="8">
        <f t="shared" ref="J50:N50" si="5">SUM(J17:J49)</f>
        <v>590884</v>
      </c>
      <c r="K50" s="8">
        <f t="shared" si="5"/>
        <v>506763.82</v>
      </c>
      <c r="L50" s="8">
        <f t="shared" si="5"/>
        <v>498440.43000000005</v>
      </c>
      <c r="M50" s="8">
        <f t="shared" si="5"/>
        <v>619976.09999999986</v>
      </c>
      <c r="N50" s="8">
        <f t="shared" si="5"/>
        <v>108517.23</v>
      </c>
      <c r="O50" s="8">
        <f t="shared" ref="O50" si="6">O17+O49</f>
        <v>0</v>
      </c>
      <c r="P50" s="7"/>
      <c r="Q50" s="3">
        <f>+SUM(C50:O50)</f>
        <v>5651069.2700000005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7">C14-C50</f>
        <v>99543.81</v>
      </c>
      <c r="D52" s="46">
        <f t="shared" si="7"/>
        <v>183752.73000000004</v>
      </c>
      <c r="E52" s="46">
        <f t="shared" si="7"/>
        <v>-98423.400000000023</v>
      </c>
      <c r="F52" s="46">
        <f t="shared" si="7"/>
        <v>4032.0400000000373</v>
      </c>
      <c r="G52" s="46">
        <f t="shared" si="7"/>
        <v>120474.04999999993</v>
      </c>
      <c r="H52" s="46">
        <f t="shared" si="7"/>
        <v>-93740.869999999879</v>
      </c>
      <c r="I52" s="46">
        <f t="shared" si="7"/>
        <v>-42402.260000000009</v>
      </c>
      <c r="J52" s="46">
        <f t="shared" si="7"/>
        <v>12287</v>
      </c>
      <c r="K52" s="46">
        <f t="shared" si="7"/>
        <v>33317.73000000004</v>
      </c>
      <c r="L52" s="46">
        <f t="shared" si="7"/>
        <v>-431.6600000000908</v>
      </c>
      <c r="M52" s="46">
        <f t="shared" si="7"/>
        <v>-8327.6099999998696</v>
      </c>
      <c r="N52" s="46">
        <f t="shared" si="7"/>
        <v>475306.13</v>
      </c>
      <c r="O52" s="46">
        <f t="shared" si="7"/>
        <v>0</v>
      </c>
      <c r="P52" s="47"/>
      <c r="Q52" s="48">
        <f>Q14-Q50</f>
        <v>685387.68999999948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8">F52+E53</f>
        <v>188905.18000000005</v>
      </c>
      <c r="G53" s="46">
        <f t="shared" si="8"/>
        <v>309379.23</v>
      </c>
      <c r="H53" s="46">
        <f t="shared" si="8"/>
        <v>215638.3600000001</v>
      </c>
      <c r="I53" s="46">
        <f t="shared" si="8"/>
        <v>173236.10000000009</v>
      </c>
      <c r="J53" s="46">
        <f t="shared" si="8"/>
        <v>185523.10000000009</v>
      </c>
      <c r="K53" s="46">
        <f t="shared" si="8"/>
        <v>218840.83000000013</v>
      </c>
      <c r="L53" s="46">
        <f t="shared" si="8"/>
        <v>218409.17000000004</v>
      </c>
      <c r="M53" s="46">
        <f t="shared" si="8"/>
        <v>210081.56000000017</v>
      </c>
      <c r="N53" s="46">
        <f t="shared" si="8"/>
        <v>685387.69000000018</v>
      </c>
      <c r="O53" s="46">
        <f t="shared" si="8"/>
        <v>685387.69000000018</v>
      </c>
      <c r="P53" s="47"/>
      <c r="Q53" s="48"/>
    </row>
  </sheetData>
  <mergeCells count="1">
    <mergeCell ref="B2:C3"/>
  </mergeCells>
  <conditionalFormatting sqref="C52:Q53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Q50">
    <cfRule type="cellIs" dxfId="5" priority="3" operator="greaterThan">
      <formula>0</formula>
    </cfRule>
    <cfRule type="cellIs" dxfId="4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4F0F-F6AD-44AF-ACA9-01E27F899F88}">
  <dimension ref="B1:Q53"/>
  <sheetViews>
    <sheetView zoomScale="89" workbookViewId="0">
      <selection activeCell="O53" sqref="O53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3" width="17.5546875" style="2" bestFit="1" customWidth="1"/>
    <col min="14" max="14" width="17.6640625" style="2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68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185523.10000000009</v>
      </c>
      <c r="K2" s="49">
        <f t="shared" si="0"/>
        <v>218840.83000000013</v>
      </c>
      <c r="L2" s="49">
        <f t="shared" si="0"/>
        <v>218409.17000000004</v>
      </c>
      <c r="M2" s="49">
        <f t="shared" si="0"/>
        <v>210081.56000000017</v>
      </c>
      <c r="N2" s="49">
        <f t="shared" si="0"/>
        <v>183734.39000000013</v>
      </c>
      <c r="O2" s="49">
        <f t="shared" si="0"/>
        <v>238797.63000000012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f>12240+11880+11832+12240+9072+17280+7722+9180+11328+10200+4872+20592+9792+10800+11856+14520+14820+20808+14688+11016+11400+5724+11556+14472+11136+11016+12960+11232+14040+17640+1818+10080+11520+15960+13200+10098+11448+10890+11628+15120+13137+12960+12240+16680+1428+9936+6000+13200+11172+1854+13248+11016</f>
        <v>602547</v>
      </c>
      <c r="K11" s="29">
        <f>7056+4320+10260+7656+11700+16698+6360+10920+10212+9600+12480+14160+19200+17280+816+22752+12240+12600+4200+5616+12960+1476+7656+13860+13104+6600+14820+16800+6600+12540+12348+10878+6600+8580+12240+996+14400+6480+13260+6840+13608+4800+5520+10008+447.55+13248+5940+5292+16008+10032+6426+9828+11880+11880</f>
        <v>540081.55000000005</v>
      </c>
      <c r="L11" s="28">
        <f>12840+16320+10800+16284+15897.6+12600+15093+8100+14352+2184+9990+15120+17550+5082+22896+12840+19872+12600+14904+16560+17940+14628+16008+14352+14076+11016+5760+13158+12852+5400+11136+12960+8568+11220+17097+5400+7728+9828+437.17+16560</f>
        <v>498008.76999999996</v>
      </c>
      <c r="M11" s="29">
        <f>12000+14400+12144+15180+12900+11880+11016+2448+7200+22632+3600+10200+14616+13104+802.29+11616+14868+12000+24192+3840+1536+10368+10800+7920+12240+11016+13482+10260+7800+12480+13356+18547.2+14616+14391+16380+12000+5760+12096+15120+11322+6120+11316+12000+17514+10368+5940+6270+9324+12540+10560+15876+6732+13200+11760</f>
        <v>611648.49</v>
      </c>
      <c r="N11" s="29">
        <f>14616+8280+10800+12420+6000+4800+12600+14868+18240+13104+18144+980.56+16698+26712+8424+13608+3852+9984+16020+12600+14616+5508+12000+12852+7800+12084+8832+18547.2+14112+11016+14904+19182+11040+6120+12852+9576+14616+10800+5400+12540+18396</f>
        <v>495543.76</v>
      </c>
      <c r="O11" s="28">
        <v>601273.80000000005</v>
      </c>
      <c r="P11" s="25"/>
      <c r="Q11" s="56">
        <f>SUM(C11:O11)</f>
        <v>6732558.1799999997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>
        <v>624</v>
      </c>
      <c r="K12" s="29"/>
      <c r="L12" s="28"/>
      <c r="M12" s="29"/>
      <c r="N12" s="29"/>
      <c r="O12" s="28"/>
      <c r="P12" s="25"/>
      <c r="Q12" s="56">
        <f>SUM(C12:O12)</f>
        <v>12850.17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O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603171</v>
      </c>
      <c r="K14" s="23">
        <f t="shared" si="1"/>
        <v>540081.55000000005</v>
      </c>
      <c r="L14" s="23">
        <f t="shared" si="1"/>
        <v>498008.76999999996</v>
      </c>
      <c r="M14" s="23">
        <f t="shared" si="1"/>
        <v>611648.49</v>
      </c>
      <c r="N14" s="23">
        <f t="shared" si="1"/>
        <v>495543.76</v>
      </c>
      <c r="O14" s="23">
        <f t="shared" si="1"/>
        <v>601273.80000000005</v>
      </c>
      <c r="P14" s="22"/>
      <c r="Q14" s="60">
        <f>SUM(C14:O14)</f>
        <v>6849451.1599999992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>
        <f>7.2+2</f>
        <v>9.1999999999999993</v>
      </c>
      <c r="K17" s="14">
        <f>7.2+2</f>
        <v>9.1999999999999993</v>
      </c>
      <c r="L17" s="14">
        <f>7.2+2</f>
        <v>9.1999999999999993</v>
      </c>
      <c r="M17" s="14">
        <f>7.2+2+5+5</f>
        <v>19.2</v>
      </c>
      <c r="N17" s="14">
        <f>7.2+2+5+5+0.48+0.08</f>
        <v>19.759999999999998</v>
      </c>
      <c r="O17" s="14">
        <f>7.2+5+5+2+0.49</f>
        <v>19.689999999999998</v>
      </c>
      <c r="P17" s="4"/>
      <c r="Q17" s="10">
        <f t="shared" ref="Q17:Q49" si="2">+SUM(C17:O17)</f>
        <v>18280.079999999984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>
        <v>38.36</v>
      </c>
      <c r="L18" s="14">
        <v>38.36</v>
      </c>
      <c r="M18" s="14">
        <v>38.479999999999997</v>
      </c>
      <c r="N18" s="14">
        <v>38.36</v>
      </c>
      <c r="O18" s="14">
        <v>38.36</v>
      </c>
      <c r="P18" s="4"/>
      <c r="Q18" s="10">
        <f t="shared" si="2"/>
        <v>460.44000000000011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2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>
        <v>128.4</v>
      </c>
      <c r="M21" s="14">
        <v>385.2</v>
      </c>
      <c r="N21" s="14"/>
      <c r="O21" s="14"/>
      <c r="P21" s="4"/>
      <c r="Q21" s="10">
        <f t="shared" si="2"/>
        <v>7256.3999999999987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>
        <f>6035.85</f>
        <v>6035.85</v>
      </c>
      <c r="O22" s="14">
        <v>13134.27</v>
      </c>
      <c r="P22" s="4"/>
      <c r="Q22" s="10">
        <f t="shared" si="2"/>
        <v>41033.72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>
        <v>2909.1</v>
      </c>
      <c r="M23" s="14">
        <v>2909.1</v>
      </c>
      <c r="N23" s="14">
        <f>2909.1</f>
        <v>2909.1</v>
      </c>
      <c r="O23" s="14">
        <v>2909.1</v>
      </c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>
        <f>2102.4+2084.4</f>
        <v>4186.8</v>
      </c>
      <c r="O25" s="14"/>
      <c r="P25" s="4"/>
      <c r="Q25" s="10">
        <f t="shared" si="2"/>
        <v>15064.8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f>432+432</f>
        <v>864</v>
      </c>
      <c r="K26" s="14"/>
      <c r="L26" s="14">
        <v>432</v>
      </c>
      <c r="M26" s="14">
        <v>432</v>
      </c>
      <c r="N26" s="14">
        <v>432</v>
      </c>
      <c r="O26" s="14">
        <f>432+432</f>
        <v>864</v>
      </c>
      <c r="P26" s="4"/>
      <c r="Q26" s="10">
        <f t="shared" si="2"/>
        <v>4968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2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2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2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2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>
        <f>9.6+58.92+22.99+14.4+23.88</f>
        <v>129.79</v>
      </c>
      <c r="L31" s="14">
        <f>58.92+22.99+14.4+8323+23.88</f>
        <v>8443.1899999999987</v>
      </c>
      <c r="M31" s="14">
        <f>491.88+37.9+58.92+61.6+691.2+288+276+22.99+337.09+337.09+30+23.88</f>
        <v>2656.55</v>
      </c>
      <c r="N31" s="14">
        <f>20.43+378.6+22.99+14.04+47.2+16.8+17.35+23.88+3.2+47.5+7.13+6.75</f>
        <v>605.87000000000012</v>
      </c>
      <c r="O31" s="14">
        <f>12.94+44.88+22.99+169.9+14.04+16.8+23.88+23.88+48.06+76.17</f>
        <v>453.54</v>
      </c>
      <c r="P31" s="4"/>
      <c r="Q31" s="10">
        <f t="shared" si="2"/>
        <v>31348.829999999998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2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L33" s="14"/>
      <c r="M33" s="14"/>
      <c r="N33" s="14"/>
      <c r="O33" s="14">
        <f>7566+21725</f>
        <v>29291</v>
      </c>
      <c r="P33" s="4"/>
      <c r="Q33" s="10">
        <f t="shared" si="2"/>
        <v>190300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>
        <v>60504</v>
      </c>
      <c r="L34" s="14">
        <v>76814</v>
      </c>
      <c r="M34" s="14">
        <v>79752</v>
      </c>
      <c r="N34" s="14">
        <v>86620</v>
      </c>
      <c r="O34" s="14">
        <v>79130</v>
      </c>
      <c r="P34" s="4"/>
      <c r="Q34" s="10">
        <f t="shared" si="2"/>
        <v>840685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>
        <f>10800+1922.4+612+5400+840+3957.6+420+1560+9588+12960+5289.6+14400</f>
        <v>67749.600000000006</v>
      </c>
      <c r="L36" s="14">
        <f>324+2136+840+420+5550+6124.8+5640+4306.8+1092+10800+6000</f>
        <v>43233.599999999999</v>
      </c>
      <c r="M36" s="14">
        <f>4512+420+4888.8+10800+8640+1281.6+12320+11220+5365+11280+14760+10800+11280+2189.4</f>
        <v>109756.79999999999</v>
      </c>
      <c r="N36" s="14">
        <f>12320+11220+15120</f>
        <v>38660</v>
      </c>
      <c r="O36" s="14">
        <f>2242.8+10800+11200+10200+2500+2856.8+16560</f>
        <v>56359.600000000006</v>
      </c>
      <c r="P36" s="4"/>
      <c r="Q36" s="10">
        <f t="shared" si="2"/>
        <v>811325.63999999978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2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>
        <f>2685.31+5247.35+5196.46+4360.65+2747.14+2757.14+4521.55+4604.76+7089.56+5498.07+4644.59+4630.2+5570.28+5078.92+5710.68+5706.2+6034.95+6258.03+4888.08+5158.47+4427.41+4979.43+4662.01+6162.44+4374.14+2785.18+4952.62+5317.16+5108.69+4900.99+5314.33+6668.18+4503.12+5658.36+4408.7+5123.6+4810.64+5334.76+5101.44+4631.17+3101.09+5531.08+5616</f>
        <v>211860.92999999996</v>
      </c>
      <c r="L38" s="14">
        <f>8886.49+4973.9+5138.04+5249.87+4494.72+4679.58+4305.27+4826.63+4793.75+5209.6+4606.18+4160.66+4798.56+5481.88+5488.33+6508.24+5737.82+4500.63+4589.78+5238.81+3495.58+4886.35+4353.96+5763.04+4374.14+4714.45+4772.6+3743.18+6398.38+5314.33+5226.31+4660.79+2799.42+4902.42+5956.78+3042.27+5393.03+7051.17+4985.83+2452.69+5484.76+5219.17+2270.43</f>
        <v>210929.82000000004</v>
      </c>
      <c r="M38" s="14">
        <f>2435.95+1676.51+4808.74+879.99+4429.07+2180.39+5248.87+4494.72+5219.17+5393.03+7051.17+4793.75+5209.6+4606.18+4160.66+4798.56+5481.88+6034.95+4874.84+4500.63+4589.78+4195.58+4886.35+4353.96+5763.04+4374.14+5484.76+5314.33+6398.38+5107.58+5022.67+4461.05+4664.3+4244.14+5018.05+4764.26+5126.58+4570.98+5547.41+7082.29+5490.61+3140.89+5341.18+4777.08+5528.65+2880.88+4985.83</f>
        <v>221393.40999999997</v>
      </c>
      <c r="N38" s="14">
        <f>924.6+885.57+5300.73+3262.8+5107.58+4461.05+5248.87+5126.58+5391.98+4429.07+4570.98+5209.6+2880.88+4985.83+4606.18+4160.66+4798.56+6034.95+4874.84+4589.78+4431.39+5018.05+3140.89+3695.58+4100.33+5230.02+6050.2+5687.24+4707.89+5481.88+4902.42+5488.33+5267.09+4309.71+3853.1+4714.45+4207.84+5168.37+5506.93+3917.62+7004.77+4353.96+5763.04+4374.14+4764.26+5710.67</f>
        <v>213701.26</v>
      </c>
      <c r="O38" s="14">
        <f>6668.94+6003.42+4158.18+4881.62+6907.61+5107.58+4461.05+5248.87+4297.47+4995.46+5358.84+4429.07+4820.18+2880.88+4664.31+4707.89+5209.6+4606.18+4774.06+6034.95+4874.84+4296.67+4418.03+3768.24+4567.54+3945.58+4353.96+2944.66+5763.04+4374.14+4714.45+5055.62+4764.26+4226.89+6386.32+4985.83+5481.88+5795.25+3140.89+5484.76+5314.33+5276.04+3600.3</f>
        <v>207749.68000000008</v>
      </c>
      <c r="P38" s="4"/>
      <c r="Q38" s="10">
        <f t="shared" si="2"/>
        <v>2564976.6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>
        <f>426.23+623.6+305.9+562.4+194.56+510.55+184.97+279.86+329.91+346.84+492.7+1081+740.46+371.86+139.4+489.84+374.89+239.59+344.8+392.47</f>
        <v>8431.83</v>
      </c>
      <c r="L39" s="14">
        <f>649.78+133+562.4+549.16+474.85+257.79+178.2+269.93+322.16+439.15+329+230.02+601.23+167.28+471.28+362.4+223.17+385.6+367.04</f>
        <v>6973.44</v>
      </c>
      <c r="M39" s="14">
        <f>257.08+199.5+644+596.44+474.85+354.9+264.22+309.92+346.84+242.8+752+348.22+629.07+153.34+397.02+630.8+249.94+534.24+256.01+385.6+367.04+397.86+702.14+426.23+305.9+725.6+643.72+346.33+379.17+272.04+329.91+643.05+421.3+1081+371.86+740.46+167.28+526.97+362.4+585.12+412.8+264.22+392.48</f>
        <v>18891.670000000002</v>
      </c>
      <c r="N39" s="14"/>
      <c r="O39" s="14">
        <f>369.5+597.42+252.7+616.8+691.97+549.16+303.49+330.62+248.58+289.92+544.31+349.9+893+324.58+1059.44+629.07+452.72+483.36+249.94+568.58+406+341.6+139.4+256.01</f>
        <v>10948.07</v>
      </c>
      <c r="P39" s="4"/>
      <c r="Q39" s="10">
        <f t="shared" si="2"/>
        <v>115575.98999999999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>
        <f>700</f>
        <v>700</v>
      </c>
      <c r="L40" s="14"/>
      <c r="M40" s="14">
        <v>3000</v>
      </c>
      <c r="N40" s="14">
        <f>500+3000+5000</f>
        <v>8500</v>
      </c>
      <c r="O40" s="14">
        <f>500+1500</f>
        <v>2000</v>
      </c>
      <c r="P40" s="4"/>
      <c r="Q40" s="10">
        <f t="shared" si="2"/>
        <v>29450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>
        <f>1709+1219+189+192.07</f>
        <v>3309.07</v>
      </c>
      <c r="L41" s="14">
        <f>118.79+92.99+86.99</f>
        <v>298.77</v>
      </c>
      <c r="M41" s="14">
        <f>356.99+869</f>
        <v>1225.99</v>
      </c>
      <c r="N41" s="14">
        <f>206.27+1899</f>
        <v>2105.27</v>
      </c>
      <c r="O41" s="14"/>
      <c r="P41" s="4"/>
      <c r="Q41" s="10">
        <f t="shared" si="2"/>
        <v>38479.989999999983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2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2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2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>
        <v>102323</v>
      </c>
      <c r="L45" s="14">
        <f>98745+13</f>
        <v>98758</v>
      </c>
      <c r="M45" s="14">
        <f>100744+19</f>
        <v>100763</v>
      </c>
      <c r="N45" s="14">
        <f>101574+7</f>
        <v>101581</v>
      </c>
      <c r="O45" s="14">
        <v>106441</v>
      </c>
      <c r="P45" s="4"/>
      <c r="Q45" s="10">
        <f t="shared" si="2"/>
        <v>1188922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>
        <v>35512.04</v>
      </c>
      <c r="L46" s="14">
        <v>33221.550000000003</v>
      </c>
      <c r="M46" s="14">
        <v>34823.99</v>
      </c>
      <c r="N46" s="14">
        <v>35085.660000000003</v>
      </c>
      <c r="O46" s="14">
        <v>36872.25</v>
      </c>
      <c r="P46" s="4"/>
      <c r="Q46" s="10">
        <f t="shared" si="2"/>
        <v>413928.78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12075</v>
      </c>
      <c r="K47" s="14"/>
      <c r="L47" s="14"/>
      <c r="M47" s="14">
        <v>12751.2</v>
      </c>
      <c r="N47" s="14"/>
      <c r="O47" s="14"/>
      <c r="P47" s="4"/>
      <c r="Q47" s="10">
        <f t="shared" si="2"/>
        <v>45686.34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>
        <v>9680.85</v>
      </c>
      <c r="K48" s="14"/>
      <c r="L48" s="14"/>
      <c r="M48" s="14">
        <v>9699.51</v>
      </c>
      <c r="N48" s="14"/>
      <c r="O48" s="14"/>
      <c r="P48" s="4"/>
      <c r="Q48" s="10">
        <f t="shared" si="2"/>
        <v>37570.74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>
        <v>16196</v>
      </c>
      <c r="L49" s="14">
        <v>16251</v>
      </c>
      <c r="M49" s="14">
        <v>21478</v>
      </c>
      <c r="N49" s="14">
        <v>21410</v>
      </c>
      <c r="O49" s="14"/>
      <c r="P49" s="4"/>
      <c r="Q49" s="10">
        <f t="shared" si="2"/>
        <v>183607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I50" si="3">SUM(D17:D49)</f>
        <v>481477.75000000006</v>
      </c>
      <c r="E50" s="8">
        <f t="shared" si="3"/>
        <v>544536.39</v>
      </c>
      <c r="F50" s="8">
        <f t="shared" si="3"/>
        <v>591609.01</v>
      </c>
      <c r="G50" s="8">
        <f t="shared" si="3"/>
        <v>533043.55000000005</v>
      </c>
      <c r="H50" s="8">
        <f t="shared" si="3"/>
        <v>637707.73</v>
      </c>
      <c r="I50" s="8">
        <f t="shared" si="3"/>
        <v>538113.26</v>
      </c>
      <c r="J50" s="8">
        <f t="shared" ref="J50:O50" si="4">SUM(J17:J49)</f>
        <v>590884</v>
      </c>
      <c r="K50" s="8">
        <f t="shared" si="4"/>
        <v>506763.82</v>
      </c>
      <c r="L50" s="8">
        <f t="shared" si="4"/>
        <v>498440.43000000005</v>
      </c>
      <c r="M50" s="8">
        <f t="shared" si="4"/>
        <v>619976.09999999986</v>
      </c>
      <c r="N50" s="8">
        <f t="shared" si="4"/>
        <v>521890.93000000005</v>
      </c>
      <c r="O50" s="8">
        <f t="shared" si="4"/>
        <v>546210.56000000006</v>
      </c>
      <c r="P50" s="7"/>
      <c r="Q50" s="3">
        <f>+SUM(C50:O50)</f>
        <v>6610653.5299999993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5">C14-C50</f>
        <v>99543.81</v>
      </c>
      <c r="D52" s="46">
        <f t="shared" si="5"/>
        <v>183752.73000000004</v>
      </c>
      <c r="E52" s="46">
        <f t="shared" si="5"/>
        <v>-98423.400000000023</v>
      </c>
      <c r="F52" s="46">
        <f t="shared" si="5"/>
        <v>4032.0400000000373</v>
      </c>
      <c r="G52" s="46">
        <f t="shared" si="5"/>
        <v>120474.04999999993</v>
      </c>
      <c r="H52" s="46">
        <f t="shared" si="5"/>
        <v>-93740.869999999879</v>
      </c>
      <c r="I52" s="46">
        <f t="shared" si="5"/>
        <v>-42402.260000000009</v>
      </c>
      <c r="J52" s="46">
        <f t="shared" si="5"/>
        <v>12287</v>
      </c>
      <c r="K52" s="46">
        <f t="shared" si="5"/>
        <v>33317.73000000004</v>
      </c>
      <c r="L52" s="46">
        <f t="shared" si="5"/>
        <v>-431.6600000000908</v>
      </c>
      <c r="M52" s="46">
        <f t="shared" si="5"/>
        <v>-8327.6099999998696</v>
      </c>
      <c r="N52" s="46">
        <f t="shared" si="5"/>
        <v>-26347.170000000042</v>
      </c>
      <c r="O52" s="46">
        <f t="shared" si="5"/>
        <v>55063.239999999991</v>
      </c>
      <c r="P52" s="47"/>
      <c r="Q52" s="48">
        <f>Q14-Q50</f>
        <v>238797.62999999989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6">F52+E53</f>
        <v>188905.18000000005</v>
      </c>
      <c r="G53" s="46">
        <f t="shared" si="6"/>
        <v>309379.23</v>
      </c>
      <c r="H53" s="46">
        <f t="shared" si="6"/>
        <v>215638.3600000001</v>
      </c>
      <c r="I53" s="46">
        <f t="shared" si="6"/>
        <v>173236.10000000009</v>
      </c>
      <c r="J53" s="46">
        <f t="shared" si="6"/>
        <v>185523.10000000009</v>
      </c>
      <c r="K53" s="46">
        <f t="shared" si="6"/>
        <v>218840.83000000013</v>
      </c>
      <c r="L53" s="46">
        <f t="shared" si="6"/>
        <v>218409.17000000004</v>
      </c>
      <c r="M53" s="46">
        <f t="shared" si="6"/>
        <v>210081.56000000017</v>
      </c>
      <c r="N53" s="46">
        <f t="shared" si="6"/>
        <v>183734.39000000013</v>
      </c>
      <c r="O53" s="46">
        <f t="shared" si="6"/>
        <v>238797.63000000012</v>
      </c>
      <c r="P53" s="47"/>
      <c r="Q53" s="48"/>
    </row>
  </sheetData>
  <mergeCells count="1">
    <mergeCell ref="B2:C3"/>
  </mergeCells>
  <conditionalFormatting sqref="C52:Q53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Q50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387D-8FAE-42B5-8B06-8E0D8C28CAFA}">
  <dimension ref="B1:Q49"/>
  <sheetViews>
    <sheetView zoomScale="89" workbookViewId="0">
      <selection activeCell="K23" sqref="A1:XFD1048576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4" width="16.44140625" style="2" customWidth="1"/>
    <col min="5" max="9" width="16.5546875" style="2" customWidth="1"/>
    <col min="10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54</v>
      </c>
    </row>
    <row r="2" spans="2:17" ht="18" x14ac:dyDescent="0.3">
      <c r="B2" s="70" t="s">
        <v>53</v>
      </c>
      <c r="C2" s="70"/>
      <c r="D2" s="49">
        <f t="shared" ref="D2:O2" si="0">+D49</f>
        <v>171448.89</v>
      </c>
      <c r="E2" s="49">
        <f t="shared" si="0"/>
        <v>171448.89</v>
      </c>
      <c r="F2" s="49">
        <f t="shared" si="0"/>
        <v>171448.89</v>
      </c>
      <c r="G2" s="49">
        <f t="shared" si="0"/>
        <v>171448.89</v>
      </c>
      <c r="H2" s="49">
        <f t="shared" si="0"/>
        <v>171448.89</v>
      </c>
      <c r="I2" s="49">
        <f t="shared" si="0"/>
        <v>171448.89</v>
      </c>
      <c r="J2" s="49">
        <f t="shared" si="0"/>
        <v>171448.89</v>
      </c>
      <c r="K2" s="49">
        <f t="shared" si="0"/>
        <v>171448.89</v>
      </c>
      <c r="L2" s="49">
        <f t="shared" si="0"/>
        <v>171448.89</v>
      </c>
      <c r="M2" s="49">
        <f t="shared" si="0"/>
        <v>171448.89</v>
      </c>
      <c r="N2" s="49">
        <f t="shared" si="0"/>
        <v>171448.89</v>
      </c>
      <c r="O2" s="49">
        <f t="shared" si="0"/>
        <v>171448.89</v>
      </c>
      <c r="P2" s="2">
        <f>P49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76806.009999999995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76806.009999999995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/>
      <c r="J9" s="34"/>
      <c r="K9" s="34"/>
      <c r="L9" s="33"/>
      <c r="M9" s="34"/>
      <c r="N9" s="34"/>
      <c r="O9" s="33"/>
      <c r="P9" s="25"/>
      <c r="Q9" s="58">
        <f>SUM(C9:O9)</f>
        <v>0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v>529936.80000000005</v>
      </c>
      <c r="E11" s="28"/>
      <c r="F11" s="29"/>
      <c r="G11" s="29"/>
      <c r="H11" s="28"/>
      <c r="I11" s="29"/>
      <c r="J11" s="29"/>
      <c r="K11" s="29"/>
      <c r="L11" s="28"/>
      <c r="M11" s="29"/>
      <c r="N11" s="29"/>
      <c r="O11" s="28"/>
      <c r="P11" s="25"/>
      <c r="Q11" s="56">
        <f>SUM(C11:O11)</f>
        <v>529936.80000000005</v>
      </c>
    </row>
    <row r="12" spans="2:17" x14ac:dyDescent="0.3">
      <c r="B12" s="11" t="s">
        <v>38</v>
      </c>
      <c r="C12" s="29"/>
      <c r="D12" s="29"/>
      <c r="E12" s="28"/>
      <c r="F12" s="29"/>
      <c r="G12" s="29"/>
      <c r="H12" s="28"/>
      <c r="I12" s="29"/>
      <c r="J12" s="29"/>
      <c r="K12" s="29"/>
      <c r="L12" s="28"/>
      <c r="M12" s="29"/>
      <c r="N12" s="29"/>
      <c r="O12" s="28"/>
      <c r="P12" s="25"/>
      <c r="Q12" s="56">
        <f>SUM(C12:O12)</f>
        <v>0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SUM(C6:C13)</f>
        <v>76806.009999999995</v>
      </c>
      <c r="D14" s="23">
        <f t="shared" ref="D14:O14" si="1">SUM(D6:D13)</f>
        <v>529936.80000000005</v>
      </c>
      <c r="E14" s="23">
        <f t="shared" si="1"/>
        <v>0</v>
      </c>
      <c r="F14" s="23">
        <f t="shared" si="1"/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3">
        <f t="shared" si="1"/>
        <v>0</v>
      </c>
      <c r="P14" s="22"/>
      <c r="Q14" s="60">
        <f>SUM(C14:O14)</f>
        <v>606742.81000000006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</f>
        <v>48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"/>
      <c r="Q17" s="10">
        <f t="shared" ref="Q17:Q45" si="2">+SUM(C17:O17)</f>
        <v>48</v>
      </c>
    </row>
    <row r="18" spans="2:17" x14ac:dyDescent="0.3">
      <c r="B18" s="17" t="s">
        <v>20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"/>
      <c r="Q18" s="10">
        <f t="shared" si="2"/>
        <v>0</v>
      </c>
    </row>
    <row r="19" spans="2:17" x14ac:dyDescent="0.3">
      <c r="B19" s="17" t="s">
        <v>52</v>
      </c>
      <c r="C19" s="14"/>
      <c r="D19" s="14">
        <v>648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2"/>
        <v>648</v>
      </c>
    </row>
    <row r="20" spans="2:17" x14ac:dyDescent="0.3">
      <c r="B20" s="17" t="s">
        <v>40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>
        <f t="shared" si="2"/>
        <v>0</v>
      </c>
    </row>
    <row r="21" spans="2:17" x14ac:dyDescent="0.3">
      <c r="B21" s="17" t="s">
        <v>19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"/>
      <c r="Q21" s="10">
        <f t="shared" si="2"/>
        <v>0</v>
      </c>
    </row>
    <row r="22" spans="2:17" x14ac:dyDescent="0.3">
      <c r="B22" s="17" t="s">
        <v>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2"/>
        <v>0</v>
      </c>
    </row>
    <row r="23" spans="2:17" x14ac:dyDescent="0.3">
      <c r="B23" s="17" t="s">
        <v>17</v>
      </c>
      <c r="C23" s="14"/>
      <c r="D23" s="14">
        <v>324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"/>
      <c r="Q23" s="10">
        <f t="shared" si="2"/>
        <v>324</v>
      </c>
    </row>
    <row r="24" spans="2:17" x14ac:dyDescent="0.3">
      <c r="B24" s="64"/>
      <c r="C24" s="65"/>
      <c r="D24" s="69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4"/>
      <c r="Q24" s="10">
        <f t="shared" si="2"/>
        <v>0</v>
      </c>
    </row>
    <row r="25" spans="2:17" x14ac:dyDescent="0.3">
      <c r="B25" s="44" t="s">
        <v>16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4"/>
      <c r="Q25" s="10">
        <f t="shared" si="2"/>
        <v>0</v>
      </c>
    </row>
    <row r="26" spans="2:17" x14ac:dyDescent="0.3">
      <c r="B26" s="45" t="s">
        <v>15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"/>
      <c r="Q26" s="10">
        <f t="shared" si="2"/>
        <v>0</v>
      </c>
    </row>
    <row r="27" spans="2:17" x14ac:dyDescent="0.3">
      <c r="B27" s="45" t="s">
        <v>41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"/>
      <c r="Q27" s="10">
        <f t="shared" si="2"/>
        <v>0</v>
      </c>
    </row>
    <row r="28" spans="2:17" ht="15" customHeight="1" x14ac:dyDescent="0.3">
      <c r="B28" s="45" t="s">
        <v>14</v>
      </c>
      <c r="C28" s="14"/>
      <c r="D28" s="14">
        <f>108.34+5.04+828.65+337+14.4+9.34+60+244.98</f>
        <v>1607.75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2"/>
        <v>1607.75</v>
      </c>
    </row>
    <row r="29" spans="2:17" ht="15" customHeight="1" x14ac:dyDescent="0.3"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2"/>
        <v>0</v>
      </c>
    </row>
    <row r="30" spans="2:17" x14ac:dyDescent="0.3">
      <c r="B30" s="16" t="s">
        <v>13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2"/>
        <v>0</v>
      </c>
    </row>
    <row r="31" spans="2:17" x14ac:dyDescent="0.3">
      <c r="B31" s="16" t="s">
        <v>12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4"/>
      <c r="Q31" s="10">
        <f t="shared" si="2"/>
        <v>0</v>
      </c>
    </row>
    <row r="32" spans="2:17" x14ac:dyDescent="0.3">
      <c r="B32" s="16" t="s">
        <v>11</v>
      </c>
      <c r="C32" s="14"/>
      <c r="D32" s="14">
        <v>50042.400000000001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2"/>
        <v>50042.400000000001</v>
      </c>
    </row>
    <row r="33" spans="2:17" x14ac:dyDescent="0.3"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4"/>
      <c r="Q33" s="10">
        <f t="shared" si="2"/>
        <v>0</v>
      </c>
    </row>
    <row r="34" spans="2:17" x14ac:dyDescent="0.3">
      <c r="B34" s="40" t="s">
        <v>10</v>
      </c>
      <c r="C34" s="14"/>
      <c r="D34" s="14">
        <v>226411.69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"/>
      <c r="Q34" s="10">
        <f t="shared" si="2"/>
        <v>226411.69</v>
      </c>
    </row>
    <row r="35" spans="2:17" x14ac:dyDescent="0.3">
      <c r="B35" s="41" t="s">
        <v>9</v>
      </c>
      <c r="C35" s="14"/>
      <c r="D35" s="14">
        <v>6.13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4"/>
      <c r="Q35" s="10">
        <f t="shared" si="2"/>
        <v>6.13</v>
      </c>
    </row>
    <row r="36" spans="2:17" x14ac:dyDescent="0.3">
      <c r="B36" s="41" t="s">
        <v>39</v>
      </c>
      <c r="C36" s="14"/>
      <c r="D36" s="14">
        <f>750</f>
        <v>750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"/>
      <c r="Q36" s="10">
        <f t="shared" si="2"/>
        <v>750</v>
      </c>
    </row>
    <row r="37" spans="2:17" x14ac:dyDescent="0.3">
      <c r="B37" s="41" t="s">
        <v>8</v>
      </c>
      <c r="C37" s="14"/>
      <c r="D37" s="14">
        <f>259+42.96+49.59</f>
        <v>351.54999999999995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2"/>
        <v>351.54999999999995</v>
      </c>
    </row>
    <row r="38" spans="2:17" x14ac:dyDescent="0.3">
      <c r="B38" s="41" t="s">
        <v>42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4"/>
      <c r="Q38" s="10">
        <f t="shared" si="2"/>
        <v>0</v>
      </c>
    </row>
    <row r="39" spans="2:17" x14ac:dyDescent="0.3">
      <c r="B39" s="41" t="s">
        <v>37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4"/>
      <c r="Q39" s="10">
        <f t="shared" si="2"/>
        <v>0</v>
      </c>
    </row>
    <row r="40" spans="2:17" x14ac:dyDescent="0.3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"/>
      <c r="Q40" s="10">
        <f t="shared" si="2"/>
        <v>0</v>
      </c>
    </row>
    <row r="41" spans="2:17" x14ac:dyDescent="0.3">
      <c r="B41" s="42" t="s">
        <v>7</v>
      </c>
      <c r="C41" s="14"/>
      <c r="D41" s="14">
        <v>87282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"/>
      <c r="Q41" s="10">
        <f t="shared" si="2"/>
        <v>87282</v>
      </c>
    </row>
    <row r="42" spans="2:17" x14ac:dyDescent="0.3">
      <c r="B42" s="43" t="s">
        <v>6</v>
      </c>
      <c r="C42" s="14"/>
      <c r="D42" s="14">
        <v>32122.63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2"/>
        <v>32122.63</v>
      </c>
    </row>
    <row r="43" spans="2:17" x14ac:dyDescent="0.3">
      <c r="B43" s="43" t="s">
        <v>5</v>
      </c>
      <c r="C43" s="14"/>
      <c r="D43" s="14">
        <v>17845.77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2"/>
        <v>17845.77</v>
      </c>
    </row>
    <row r="44" spans="2:17" x14ac:dyDescent="0.3">
      <c r="B44" s="43" t="s">
        <v>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2"/>
        <v>0</v>
      </c>
    </row>
    <row r="45" spans="2:17" ht="15" thickBot="1" x14ac:dyDescent="0.35">
      <c r="B45" s="43" t="s">
        <v>3</v>
      </c>
      <c r="C45" s="14"/>
      <c r="D45" s="14">
        <v>17854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4"/>
      <c r="Q45" s="10">
        <f t="shared" si="2"/>
        <v>17854</v>
      </c>
    </row>
    <row r="46" spans="2:17" ht="16.2" thickBot="1" x14ac:dyDescent="0.35">
      <c r="B46" s="9" t="s">
        <v>2</v>
      </c>
      <c r="C46" s="8">
        <f>SUM(C17:C45)</f>
        <v>0</v>
      </c>
      <c r="D46" s="8">
        <f t="shared" ref="D46:O46" si="3">SUM(D17:D45)</f>
        <v>435293.92000000004</v>
      </c>
      <c r="E46" s="8">
        <f t="shared" si="3"/>
        <v>0</v>
      </c>
      <c r="F46" s="8">
        <f t="shared" si="3"/>
        <v>0</v>
      </c>
      <c r="G46" s="8">
        <f t="shared" si="3"/>
        <v>0</v>
      </c>
      <c r="H46" s="8">
        <f t="shared" si="3"/>
        <v>0</v>
      </c>
      <c r="I46" s="8">
        <f t="shared" si="3"/>
        <v>0</v>
      </c>
      <c r="J46" s="8">
        <f t="shared" si="3"/>
        <v>0</v>
      </c>
      <c r="K46" s="8">
        <f t="shared" si="3"/>
        <v>0</v>
      </c>
      <c r="L46" s="8">
        <f t="shared" si="3"/>
        <v>0</v>
      </c>
      <c r="M46" s="8">
        <f t="shared" si="3"/>
        <v>0</v>
      </c>
      <c r="N46" s="8">
        <f t="shared" si="3"/>
        <v>0</v>
      </c>
      <c r="O46" s="8">
        <f t="shared" si="3"/>
        <v>0</v>
      </c>
      <c r="P46" s="7"/>
      <c r="Q46" s="3">
        <f>+SUM(C46:O46)</f>
        <v>435293.92000000004</v>
      </c>
    </row>
    <row r="47" spans="2:17" ht="15" thickBot="1" x14ac:dyDescent="0.35">
      <c r="B47" s="6"/>
      <c r="C47" s="5"/>
      <c r="D47" s="5"/>
      <c r="E47" s="5"/>
      <c r="F47" s="5"/>
      <c r="G47" s="5"/>
      <c r="H47" s="5"/>
      <c r="I47" s="5"/>
      <c r="J47" s="5"/>
      <c r="K47" s="5"/>
      <c r="M47" s="5"/>
      <c r="N47" s="5"/>
      <c r="P47" s="4"/>
    </row>
    <row r="48" spans="2:17" ht="15.6" x14ac:dyDescent="0.3">
      <c r="B48" s="67" t="s">
        <v>1</v>
      </c>
      <c r="C48" s="46">
        <f>C14-C46</f>
        <v>76806.009999999995</v>
      </c>
      <c r="D48" s="46">
        <f t="shared" ref="D48:O48" si="4">D14-D46</f>
        <v>94642.880000000005</v>
      </c>
      <c r="E48" s="46">
        <f t="shared" si="4"/>
        <v>0</v>
      </c>
      <c r="F48" s="46">
        <f t="shared" si="4"/>
        <v>0</v>
      </c>
      <c r="G48" s="46">
        <f t="shared" si="4"/>
        <v>0</v>
      </c>
      <c r="H48" s="46">
        <f t="shared" si="4"/>
        <v>0</v>
      </c>
      <c r="I48" s="46">
        <f t="shared" si="4"/>
        <v>0</v>
      </c>
      <c r="J48" s="46">
        <f t="shared" si="4"/>
        <v>0</v>
      </c>
      <c r="K48" s="46">
        <f t="shared" si="4"/>
        <v>0</v>
      </c>
      <c r="L48" s="46">
        <f t="shared" si="4"/>
        <v>0</v>
      </c>
      <c r="M48" s="46">
        <f t="shared" si="4"/>
        <v>0</v>
      </c>
      <c r="N48" s="46">
        <f t="shared" si="4"/>
        <v>0</v>
      </c>
      <c r="O48" s="46">
        <f t="shared" si="4"/>
        <v>0</v>
      </c>
      <c r="P48" s="47"/>
      <c r="Q48" s="48">
        <f>Q14-Q46</f>
        <v>171448.89</v>
      </c>
    </row>
    <row r="49" spans="2:17" ht="16.2" thickBot="1" x14ac:dyDescent="0.35">
      <c r="B49" s="68" t="s">
        <v>0</v>
      </c>
      <c r="C49" s="46">
        <f>C48</f>
        <v>76806.009999999995</v>
      </c>
      <c r="D49" s="46">
        <f>C49+D48</f>
        <v>171448.89</v>
      </c>
      <c r="E49" s="46">
        <f t="shared" ref="E49:O49" si="5">D49+E48</f>
        <v>171448.89</v>
      </c>
      <c r="F49" s="46">
        <f t="shared" si="5"/>
        <v>171448.89</v>
      </c>
      <c r="G49" s="46">
        <f t="shared" si="5"/>
        <v>171448.89</v>
      </c>
      <c r="H49" s="46">
        <f t="shared" si="5"/>
        <v>171448.89</v>
      </c>
      <c r="I49" s="46">
        <f t="shared" si="5"/>
        <v>171448.89</v>
      </c>
      <c r="J49" s="46">
        <f t="shared" si="5"/>
        <v>171448.89</v>
      </c>
      <c r="K49" s="46">
        <f t="shared" si="5"/>
        <v>171448.89</v>
      </c>
      <c r="L49" s="46">
        <f t="shared" si="5"/>
        <v>171448.89</v>
      </c>
      <c r="M49" s="46">
        <f t="shared" si="5"/>
        <v>171448.89</v>
      </c>
      <c r="N49" s="46">
        <f t="shared" si="5"/>
        <v>171448.89</v>
      </c>
      <c r="O49" s="46">
        <f t="shared" si="5"/>
        <v>171448.89</v>
      </c>
      <c r="P49" s="47"/>
      <c r="Q49" s="48"/>
    </row>
  </sheetData>
  <mergeCells count="1">
    <mergeCell ref="B2:C3"/>
  </mergeCells>
  <conditionalFormatting sqref="C48:Q49">
    <cfRule type="cellIs" dxfId="47" priority="1" operator="lessThan">
      <formula>0</formula>
    </cfRule>
    <cfRule type="cellIs" dxfId="46" priority="2" operator="greaterThan">
      <formula>0</formula>
    </cfRule>
  </conditionalFormatting>
  <conditionalFormatting sqref="Q46">
    <cfRule type="cellIs" dxfId="45" priority="3" operator="greaterThan">
      <formula>0</formula>
    </cfRule>
    <cfRule type="cellIs" dxfId="44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E7E5-BA5D-4834-A060-6E0384AD06E0}">
  <dimension ref="B1:Q49"/>
  <sheetViews>
    <sheetView zoomScale="89" workbookViewId="0">
      <selection activeCell="E33" sqref="E33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4" width="16.44140625" style="2" customWidth="1"/>
    <col min="5" max="9" width="16.5546875" style="2" customWidth="1"/>
    <col min="10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55</v>
      </c>
    </row>
    <row r="2" spans="2:17" ht="18" x14ac:dyDescent="0.3">
      <c r="B2" s="70" t="s">
        <v>53</v>
      </c>
      <c r="C2" s="70"/>
      <c r="D2" s="49">
        <f t="shared" ref="D2:O2" si="0">+D49</f>
        <v>283296.54000000004</v>
      </c>
      <c r="E2" s="49">
        <f t="shared" si="0"/>
        <v>29386.960000000079</v>
      </c>
      <c r="F2" s="49">
        <f t="shared" si="0"/>
        <v>29386.960000000079</v>
      </c>
      <c r="G2" s="49">
        <f t="shared" si="0"/>
        <v>29386.960000000079</v>
      </c>
      <c r="H2" s="49">
        <f t="shared" si="0"/>
        <v>29386.960000000079</v>
      </c>
      <c r="I2" s="49">
        <f t="shared" si="0"/>
        <v>29386.960000000079</v>
      </c>
      <c r="J2" s="49">
        <f t="shared" si="0"/>
        <v>29386.960000000079</v>
      </c>
      <c r="K2" s="49">
        <f t="shared" si="0"/>
        <v>29386.960000000079</v>
      </c>
      <c r="L2" s="49">
        <f t="shared" si="0"/>
        <v>29386.960000000079</v>
      </c>
      <c r="M2" s="49">
        <f t="shared" si="0"/>
        <v>29386.960000000079</v>
      </c>
      <c r="N2" s="49">
        <f t="shared" si="0"/>
        <v>29386.960000000079</v>
      </c>
      <c r="O2" s="49">
        <f t="shared" si="0"/>
        <v>29386.960000000079</v>
      </c>
      <c r="P2" s="2">
        <f>P49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/>
      <c r="J9" s="34"/>
      <c r="K9" s="34"/>
      <c r="L9" s="33"/>
      <c r="M9" s="34"/>
      <c r="N9" s="34"/>
      <c r="O9" s="33"/>
      <c r="P9" s="25"/>
      <c r="Q9" s="58">
        <f>SUM(C9:O9)</f>
        <v>0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v>333411.46999999997</v>
      </c>
      <c r="F11" s="29"/>
      <c r="G11" s="29"/>
      <c r="H11" s="28"/>
      <c r="I11" s="29"/>
      <c r="J11" s="29"/>
      <c r="K11" s="29"/>
      <c r="L11" s="28"/>
      <c r="M11" s="29"/>
      <c r="N11" s="29"/>
      <c r="O11" s="28"/>
      <c r="P11" s="25"/>
      <c r="Q11" s="56">
        <f>SUM(C11:O11)</f>
        <v>998252.27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/>
      <c r="I12" s="29"/>
      <c r="J12" s="29"/>
      <c r="K12" s="29"/>
      <c r="L12" s="28"/>
      <c r="M12" s="29"/>
      <c r="N12" s="29"/>
      <c r="O12" s="28"/>
      <c r="P12" s="25"/>
      <c r="Q12" s="56">
        <f>SUM(C12:O12)</f>
        <v>450.67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333472.45999999996</v>
      </c>
      <c r="F14" s="23">
        <f t="shared" ref="F14:O14" si="1">F6+F13</f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3">
        <f t="shared" si="1"/>
        <v>0</v>
      </c>
      <c r="P14" s="22"/>
      <c r="Q14" s="60">
        <f>SUM(C14:O14)</f>
        <v>1098246.75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7.2+94.9+2</f>
        <v>104.10000000000001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4"/>
      <c r="Q17" s="10">
        <f t="shared" ref="Q17:Q45" si="2">+SUM(C17:O17)</f>
        <v>3463.630000000011</v>
      </c>
    </row>
    <row r="18" spans="2:17" x14ac:dyDescent="0.3">
      <c r="B18" s="17" t="s">
        <v>20</v>
      </c>
      <c r="C18" s="14"/>
      <c r="D18" s="14">
        <v>38.36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"/>
      <c r="Q18" s="10">
        <f t="shared" si="2"/>
        <v>38.36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2"/>
        <v>0</v>
      </c>
    </row>
    <row r="20" spans="2:17" x14ac:dyDescent="0.3">
      <c r="B20" s="17" t="s">
        <v>40</v>
      </c>
      <c r="C20" s="14"/>
      <c r="D20" s="14">
        <v>648</v>
      </c>
      <c r="E20" s="14">
        <v>60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>
        <f t="shared" si="2"/>
        <v>708</v>
      </c>
    </row>
    <row r="21" spans="2:17" x14ac:dyDescent="0.3">
      <c r="B21" s="17" t="s">
        <v>19</v>
      </c>
      <c r="C21" s="14"/>
      <c r="D21" s="14"/>
      <c r="E21" s="14">
        <v>9380.8799999999992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"/>
      <c r="Q21" s="10">
        <f t="shared" si="2"/>
        <v>9380.8799999999992</v>
      </c>
    </row>
    <row r="22" spans="2:17" x14ac:dyDescent="0.3">
      <c r="B22" s="17" t="s">
        <v>18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2"/>
        <v>0</v>
      </c>
    </row>
    <row r="23" spans="2:17" x14ac:dyDescent="0.3">
      <c r="B23" s="17" t="s">
        <v>17</v>
      </c>
      <c r="C23" s="14"/>
      <c r="D23" s="14">
        <v>324</v>
      </c>
      <c r="E23" s="14">
        <v>324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"/>
      <c r="Q23" s="10">
        <f t="shared" si="2"/>
        <v>648</v>
      </c>
    </row>
    <row r="24" spans="2:17" x14ac:dyDescent="0.3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4"/>
      <c r="Q24" s="10">
        <f t="shared" si="2"/>
        <v>0</v>
      </c>
    </row>
    <row r="25" spans="2:17" x14ac:dyDescent="0.3">
      <c r="B25" s="44" t="s">
        <v>16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4"/>
      <c r="Q25" s="10">
        <f t="shared" si="2"/>
        <v>0</v>
      </c>
    </row>
    <row r="26" spans="2:17" x14ac:dyDescent="0.3">
      <c r="B26" s="45" t="s">
        <v>15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"/>
      <c r="Q26" s="10">
        <f t="shared" si="2"/>
        <v>0</v>
      </c>
    </row>
    <row r="27" spans="2:17" x14ac:dyDescent="0.3">
      <c r="B27" s="45" t="s">
        <v>41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"/>
      <c r="Q27" s="10">
        <f t="shared" si="2"/>
        <v>0</v>
      </c>
    </row>
    <row r="28" spans="2:17" ht="15" customHeight="1" x14ac:dyDescent="0.3">
      <c r="B28" s="45" t="s">
        <v>14</v>
      </c>
      <c r="C28" s="14"/>
      <c r="D28" s="14">
        <f>108.34+5.04+828.65+337+14.4+9.34+60+244.98+412.56+414.97+82.7+349.56</f>
        <v>2867.5399999999995</v>
      </c>
      <c r="E28" s="14">
        <f>1.28+2047+14.4</f>
        <v>2062.6800000000003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2"/>
        <v>4930.2199999999993</v>
      </c>
    </row>
    <row r="29" spans="2:17" ht="15" customHeight="1" x14ac:dyDescent="0.3">
      <c r="B29" s="1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2"/>
        <v>0</v>
      </c>
    </row>
    <row r="30" spans="2:17" x14ac:dyDescent="0.3">
      <c r="B30" s="16" t="s">
        <v>13</v>
      </c>
      <c r="C30" s="14"/>
      <c r="D30" s="14">
        <v>78820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2"/>
        <v>78820</v>
      </c>
    </row>
    <row r="31" spans="2:17" x14ac:dyDescent="0.3">
      <c r="B31" s="16" t="s">
        <v>12</v>
      </c>
      <c r="C31" s="14"/>
      <c r="D31" s="14"/>
      <c r="E31" s="14">
        <v>107757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4"/>
      <c r="Q31" s="10">
        <f t="shared" si="2"/>
        <v>107757</v>
      </c>
    </row>
    <row r="32" spans="2:17" x14ac:dyDescent="0.3">
      <c r="B32" s="16" t="s">
        <v>11</v>
      </c>
      <c r="C32" s="14"/>
      <c r="D32" s="14">
        <f>5289.6+5121.6+840+6300+12000+3504+3600</f>
        <v>36655.199999999997</v>
      </c>
      <c r="E32" s="14">
        <f>8640+18000+3948+840+6000+4656+4454.4+44588.4</f>
        <v>91126.8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2"/>
        <v>127782</v>
      </c>
    </row>
    <row r="33" spans="2:17" x14ac:dyDescent="0.3">
      <c r="B33" s="1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4"/>
      <c r="Q33" s="10">
        <f t="shared" si="2"/>
        <v>0</v>
      </c>
    </row>
    <row r="34" spans="2:17" x14ac:dyDescent="0.3">
      <c r="B34" s="40" t="s">
        <v>10</v>
      </c>
      <c r="C34" s="14"/>
      <c r="D34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4" s="14">
        <f>502.85+486.45+220689.07</f>
        <v>221678.37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"/>
      <c r="Q34" s="10">
        <f t="shared" si="2"/>
        <v>425777.18000000005</v>
      </c>
    </row>
    <row r="35" spans="2:17" x14ac:dyDescent="0.3">
      <c r="B35" s="41" t="s">
        <v>9</v>
      </c>
      <c r="C35" s="14"/>
      <c r="D35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5" s="14">
        <f>412.05+575.96+761.92+416.28+525.52+342.76+272.04+309.91+643.05+475.2+1034+324.58+167.28+155.69+508.41+274.93+549.82+331.2+379.75+544.31+100+9000</f>
        <v>18104.659999999996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4"/>
      <c r="Q35" s="10">
        <f t="shared" si="2"/>
        <v>31410.789999999994</v>
      </c>
    </row>
    <row r="36" spans="2:17" x14ac:dyDescent="0.3">
      <c r="B36" s="41" t="s">
        <v>39</v>
      </c>
      <c r="C36" s="14"/>
      <c r="D36" s="14">
        <f>750+3000</f>
        <v>3750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"/>
      <c r="Q36" s="10">
        <f t="shared" si="2"/>
        <v>3750</v>
      </c>
    </row>
    <row r="37" spans="2:17" x14ac:dyDescent="0.3">
      <c r="B37" s="41" t="s">
        <v>8</v>
      </c>
      <c r="C37" s="14"/>
      <c r="D37" s="14">
        <f>259+42.96+49.59</f>
        <v>351.54999999999995</v>
      </c>
      <c r="E37" s="14">
        <f>915.99+1797.01+29.2+187.87+1573.3+1589+5092.41</f>
        <v>11184.779999999999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2"/>
        <v>11536.329999999998</v>
      </c>
    </row>
    <row r="38" spans="2:17" x14ac:dyDescent="0.3">
      <c r="B38" s="41" t="s">
        <v>42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4"/>
      <c r="Q38" s="10">
        <f t="shared" si="2"/>
        <v>0</v>
      </c>
    </row>
    <row r="39" spans="2:17" x14ac:dyDescent="0.3">
      <c r="B39" s="41" t="s">
        <v>37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4"/>
      <c r="Q39" s="10">
        <f t="shared" si="2"/>
        <v>0</v>
      </c>
    </row>
    <row r="40" spans="2:17" x14ac:dyDescent="0.3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"/>
      <c r="Q40" s="10">
        <f t="shared" si="2"/>
        <v>0</v>
      </c>
    </row>
    <row r="41" spans="2:17" x14ac:dyDescent="0.3">
      <c r="B41" s="42" t="s">
        <v>7</v>
      </c>
      <c r="C41" s="14"/>
      <c r="D41" s="14">
        <v>87282</v>
      </c>
      <c r="E41" s="14">
        <f>92515+5</f>
        <v>92520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"/>
      <c r="Q41" s="10">
        <f t="shared" si="2"/>
        <v>179802</v>
      </c>
    </row>
    <row r="42" spans="2:17" x14ac:dyDescent="0.3">
      <c r="B42" s="43" t="s">
        <v>6</v>
      </c>
      <c r="C42" s="14"/>
      <c r="D42" s="14">
        <v>32122.63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2"/>
        <v>32122.63</v>
      </c>
    </row>
    <row r="43" spans="2:17" x14ac:dyDescent="0.3">
      <c r="B43" s="43" t="s">
        <v>5</v>
      </c>
      <c r="C43" s="14"/>
      <c r="D43" s="14"/>
      <c r="E43" s="14">
        <f>9074.94</f>
        <v>9074.94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2"/>
        <v>9074.94</v>
      </c>
    </row>
    <row r="44" spans="2:17" x14ac:dyDescent="0.3">
      <c r="B44" s="43" t="s">
        <v>4</v>
      </c>
      <c r="C44" s="14"/>
      <c r="D44" s="14"/>
      <c r="E44" s="14">
        <v>8770.83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2"/>
        <v>8770.83</v>
      </c>
    </row>
    <row r="45" spans="2:17" ht="15" thickBot="1" x14ac:dyDescent="0.35">
      <c r="B45" s="43" t="s">
        <v>3</v>
      </c>
      <c r="C45" s="14"/>
      <c r="D45" s="14">
        <v>17854</v>
      </c>
      <c r="E45" s="14">
        <v>15233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4"/>
      <c r="Q45" s="10">
        <f t="shared" si="2"/>
        <v>33087</v>
      </c>
    </row>
    <row r="46" spans="2:17" ht="16.2" thickBot="1" x14ac:dyDescent="0.35">
      <c r="B46" s="9" t="s">
        <v>2</v>
      </c>
      <c r="C46" s="8">
        <f>C17+C45</f>
        <v>0</v>
      </c>
      <c r="D46" s="8">
        <f>SUM(D17:D45)</f>
        <v>481477.75000000006</v>
      </c>
      <c r="E46" s="8">
        <f>SUM(E17:E45)</f>
        <v>587382.03999999992</v>
      </c>
      <c r="F46" s="8">
        <f t="shared" ref="F46:O46" si="3">F17+F45</f>
        <v>0</v>
      </c>
      <c r="G46" s="8">
        <f t="shared" si="3"/>
        <v>0</v>
      </c>
      <c r="H46" s="8">
        <f t="shared" si="3"/>
        <v>0</v>
      </c>
      <c r="I46" s="8">
        <f t="shared" si="3"/>
        <v>0</v>
      </c>
      <c r="J46" s="8">
        <f t="shared" si="3"/>
        <v>0</v>
      </c>
      <c r="K46" s="8">
        <f t="shared" si="3"/>
        <v>0</v>
      </c>
      <c r="L46" s="8">
        <f t="shared" si="3"/>
        <v>0</v>
      </c>
      <c r="M46" s="8">
        <f t="shared" si="3"/>
        <v>0</v>
      </c>
      <c r="N46" s="8">
        <f t="shared" si="3"/>
        <v>0</v>
      </c>
      <c r="O46" s="8">
        <f t="shared" si="3"/>
        <v>0</v>
      </c>
      <c r="P46" s="7"/>
      <c r="Q46" s="3">
        <f>+SUM(C46:O46)</f>
        <v>1068859.79</v>
      </c>
    </row>
    <row r="47" spans="2:17" ht="15" thickBot="1" x14ac:dyDescent="0.35">
      <c r="B47" s="6"/>
      <c r="C47" s="5"/>
      <c r="D47" s="5"/>
      <c r="E47" s="5"/>
      <c r="F47" s="5"/>
      <c r="G47" s="5"/>
      <c r="H47" s="5"/>
      <c r="I47" s="5"/>
      <c r="J47" s="5"/>
      <c r="K47" s="5"/>
      <c r="M47" s="5"/>
      <c r="N47" s="5"/>
      <c r="P47" s="4"/>
    </row>
    <row r="48" spans="2:17" ht="15.6" x14ac:dyDescent="0.3">
      <c r="B48" s="67" t="s">
        <v>1</v>
      </c>
      <c r="C48" s="46">
        <f>C14-C46</f>
        <v>99543.81</v>
      </c>
      <c r="D48" s="46">
        <f t="shared" ref="D48:O48" si="4">D14-D46</f>
        <v>183752.73000000004</v>
      </c>
      <c r="E48" s="46">
        <f t="shared" si="4"/>
        <v>-253909.57999999996</v>
      </c>
      <c r="F48" s="46">
        <f t="shared" si="4"/>
        <v>0</v>
      </c>
      <c r="G48" s="46">
        <f t="shared" si="4"/>
        <v>0</v>
      </c>
      <c r="H48" s="46">
        <f t="shared" si="4"/>
        <v>0</v>
      </c>
      <c r="I48" s="46">
        <f t="shared" si="4"/>
        <v>0</v>
      </c>
      <c r="J48" s="46">
        <f t="shared" si="4"/>
        <v>0</v>
      </c>
      <c r="K48" s="46">
        <f t="shared" si="4"/>
        <v>0</v>
      </c>
      <c r="L48" s="46">
        <f t="shared" si="4"/>
        <v>0</v>
      </c>
      <c r="M48" s="46">
        <f t="shared" si="4"/>
        <v>0</v>
      </c>
      <c r="N48" s="46">
        <f t="shared" si="4"/>
        <v>0</v>
      </c>
      <c r="O48" s="46">
        <f t="shared" si="4"/>
        <v>0</v>
      </c>
      <c r="P48" s="47"/>
      <c r="Q48" s="48">
        <f>Q14-Q46</f>
        <v>29386.959999999963</v>
      </c>
    </row>
    <row r="49" spans="2:17" ht="16.2" thickBot="1" x14ac:dyDescent="0.35">
      <c r="B49" s="68" t="s">
        <v>0</v>
      </c>
      <c r="C49" s="46">
        <f>C48</f>
        <v>99543.81</v>
      </c>
      <c r="D49" s="46">
        <f>D48+C49</f>
        <v>283296.54000000004</v>
      </c>
      <c r="E49" s="46">
        <f>E48+D49</f>
        <v>29386.960000000079</v>
      </c>
      <c r="F49" s="46">
        <f t="shared" ref="F49:O49" si="5">F48+E49</f>
        <v>29386.960000000079</v>
      </c>
      <c r="G49" s="46">
        <f t="shared" si="5"/>
        <v>29386.960000000079</v>
      </c>
      <c r="H49" s="46">
        <f t="shared" si="5"/>
        <v>29386.960000000079</v>
      </c>
      <c r="I49" s="46">
        <f t="shared" si="5"/>
        <v>29386.960000000079</v>
      </c>
      <c r="J49" s="46">
        <f t="shared" si="5"/>
        <v>29386.960000000079</v>
      </c>
      <c r="K49" s="46">
        <f t="shared" si="5"/>
        <v>29386.960000000079</v>
      </c>
      <c r="L49" s="46">
        <f t="shared" si="5"/>
        <v>29386.960000000079</v>
      </c>
      <c r="M49" s="46">
        <f t="shared" si="5"/>
        <v>29386.960000000079</v>
      </c>
      <c r="N49" s="46">
        <f t="shared" si="5"/>
        <v>29386.960000000079</v>
      </c>
      <c r="O49" s="46">
        <f t="shared" si="5"/>
        <v>29386.960000000079</v>
      </c>
      <c r="P49" s="47"/>
      <c r="Q49" s="48"/>
    </row>
  </sheetData>
  <mergeCells count="1">
    <mergeCell ref="B2:C3"/>
  </mergeCells>
  <conditionalFormatting sqref="C48:Q49">
    <cfRule type="cellIs" dxfId="43" priority="1" operator="lessThan">
      <formula>0</formula>
    </cfRule>
    <cfRule type="cellIs" dxfId="42" priority="2" operator="greaterThan">
      <formula>0</formula>
    </cfRule>
  </conditionalFormatting>
  <conditionalFormatting sqref="Q46">
    <cfRule type="cellIs" dxfId="41" priority="3" operator="greaterThan">
      <formula>0</formula>
    </cfRule>
    <cfRule type="cellIs" dxfId="40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0572-5AB2-4094-AF91-004231D7EFCA}">
  <dimension ref="B1:Q50"/>
  <sheetViews>
    <sheetView zoomScale="89" workbookViewId="0">
      <selection activeCell="H32" sqref="H32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4" width="16.44140625" style="2" customWidth="1"/>
    <col min="5" max="9" width="16.5546875" style="2" customWidth="1"/>
    <col min="10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57</v>
      </c>
    </row>
    <row r="2" spans="2:17" ht="18" x14ac:dyDescent="0.3">
      <c r="B2" s="70" t="s">
        <v>53</v>
      </c>
      <c r="C2" s="70"/>
      <c r="D2" s="49">
        <f t="shared" ref="D2:O2" si="0">+D50</f>
        <v>283296.54000000004</v>
      </c>
      <c r="E2" s="49">
        <f t="shared" si="0"/>
        <v>184873.14</v>
      </c>
      <c r="F2" s="49">
        <f t="shared" si="0"/>
        <v>188904.57999999996</v>
      </c>
      <c r="G2" s="49">
        <f t="shared" si="0"/>
        <v>188904.57999999996</v>
      </c>
      <c r="H2" s="49">
        <f t="shared" si="0"/>
        <v>188904.57999999996</v>
      </c>
      <c r="I2" s="49">
        <f t="shared" si="0"/>
        <v>188904.57999999996</v>
      </c>
      <c r="J2" s="49">
        <f t="shared" si="0"/>
        <v>188904.57999999996</v>
      </c>
      <c r="K2" s="49">
        <f t="shared" si="0"/>
        <v>188904.57999999996</v>
      </c>
      <c r="L2" s="49">
        <f t="shared" si="0"/>
        <v>188904.57999999996</v>
      </c>
      <c r="M2" s="49">
        <f t="shared" si="0"/>
        <v>188904.57999999996</v>
      </c>
      <c r="N2" s="49">
        <f t="shared" si="0"/>
        <v>188904.57999999996</v>
      </c>
      <c r="O2" s="49">
        <f t="shared" si="0"/>
        <v>188904.57999999996</v>
      </c>
      <c r="P2" s="2">
        <f>P50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/>
      <c r="J9" s="34"/>
      <c r="K9" s="34"/>
      <c r="L9" s="33"/>
      <c r="M9" s="34"/>
      <c r="N9" s="34"/>
      <c r="O9" s="33"/>
      <c r="P9" s="25"/>
      <c r="Q9" s="58">
        <f>SUM(C9:O9)</f>
        <v>0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/>
      <c r="H11" s="28"/>
      <c r="I11" s="29"/>
      <c r="J11" s="29"/>
      <c r="K11" s="29"/>
      <c r="L11" s="28"/>
      <c r="M11" s="29"/>
      <c r="N11" s="29"/>
      <c r="O11" s="28"/>
      <c r="P11" s="25"/>
      <c r="Q11" s="56">
        <f>SUM(C11:O11)</f>
        <v>1706533.85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/>
      <c r="I12" s="29"/>
      <c r="J12" s="29"/>
      <c r="K12" s="29"/>
      <c r="L12" s="28"/>
      <c r="M12" s="29"/>
      <c r="N12" s="29"/>
      <c r="O12" s="28"/>
      <c r="P12" s="25"/>
      <c r="Q12" s="56">
        <f>SUM(C12:O12)</f>
        <v>450.67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1806528.33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7.2+0.98+2+462.84+13200+0.07+0.3+0.3+0.3+0.3+0.3+0.3+0.3+0.3+0.3+0.3+0.3+0.3+0.3+0.3+0.3+0.3+0.3+0.3+0.3+0.3+0.3+0.3+0.3+0.3+0.3+0.3+0.3+0.3+0.3+0.3+0.3+0.3+0.3+0.3+0.3+0.3+0.3</f>
        <v>13684.189999999973</v>
      </c>
      <c r="G17" s="14"/>
      <c r="H17" s="14"/>
      <c r="I17" s="14"/>
      <c r="J17" s="14"/>
      <c r="K17" s="14"/>
      <c r="L17" s="14"/>
      <c r="M17" s="14"/>
      <c r="N17" s="14"/>
      <c r="O17" s="14"/>
      <c r="P17" s="4"/>
      <c r="Q17" s="10">
        <f t="shared" ref="Q17:Q46" si="3">+SUM(C17:O17)</f>
        <v>17058.619999999984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"/>
      <c r="Q18" s="10">
        <f t="shared" si="3"/>
        <v>76.72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/>
      <c r="H21" s="14"/>
      <c r="I21" s="14"/>
      <c r="J21" s="14"/>
      <c r="K21" s="14"/>
      <c r="L21" s="14"/>
      <c r="M21" s="14"/>
      <c r="N21" s="14"/>
      <c r="O21" s="14"/>
      <c r="P21" s="4"/>
      <c r="Q21" s="10">
        <f t="shared" si="3"/>
        <v>5972.4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/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16147.489999999998</v>
      </c>
    </row>
    <row r="23" spans="2:17" x14ac:dyDescent="0.3">
      <c r="B23" s="17" t="s">
        <v>18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4"/>
      <c r="Q23" s="10">
        <f t="shared" si="3"/>
        <v>0</v>
      </c>
    </row>
    <row r="24" spans="2:17" x14ac:dyDescent="0.3">
      <c r="B24" s="17" t="s">
        <v>17</v>
      </c>
      <c r="C24" s="14"/>
      <c r="D24" s="14">
        <v>324</v>
      </c>
      <c r="E24" s="14">
        <v>324</v>
      </c>
      <c r="F24" s="14">
        <v>324</v>
      </c>
      <c r="G24" s="14"/>
      <c r="H24" s="14"/>
      <c r="I24" s="14"/>
      <c r="J24" s="14"/>
      <c r="K24" s="14"/>
      <c r="L24" s="14"/>
      <c r="M24" s="14"/>
      <c r="N24" s="14"/>
      <c r="O24" s="14"/>
      <c r="P24" s="4"/>
      <c r="Q24" s="10">
        <f t="shared" si="3"/>
        <v>972</v>
      </c>
    </row>
    <row r="25" spans="2:17" x14ac:dyDescent="0.3"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4"/>
      <c r="Q25" s="10">
        <f t="shared" si="3"/>
        <v>0</v>
      </c>
    </row>
    <row r="26" spans="2:17" x14ac:dyDescent="0.3">
      <c r="B26" s="44" t="s">
        <v>16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"/>
      <c r="Q26" s="10">
        <f t="shared" si="3"/>
        <v>0</v>
      </c>
    </row>
    <row r="27" spans="2:17" x14ac:dyDescent="0.3">
      <c r="B27" s="45" t="s">
        <v>15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"/>
      <c r="Q27" s="10">
        <f t="shared" si="3"/>
        <v>0</v>
      </c>
    </row>
    <row r="28" spans="2:17" x14ac:dyDescent="0.3">
      <c r="B28" s="45" t="s">
        <v>41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ht="15" customHeight="1" x14ac:dyDescent="0.3">
      <c r="B29" s="45" t="s">
        <v>14</v>
      </c>
      <c r="C29" s="14"/>
      <c r="D29" s="14">
        <f>108.34+5.04+828.65+337+14.4+9.34+60+244.98+412.56+414.97+82.7+349.56</f>
        <v>2867.5399999999995</v>
      </c>
      <c r="E29" s="14">
        <f>1.28+2047+14.4+61.2+94.9</f>
        <v>2218.7800000000002</v>
      </c>
      <c r="F29" s="14">
        <f>5.14+672.18+292.7+352.8+6.71+97.46+22.99+468+14.4+3.33+7.18+3467.9</f>
        <v>5410.79</v>
      </c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10497.11</v>
      </c>
    </row>
    <row r="30" spans="2:17" ht="15" customHeight="1" x14ac:dyDescent="0.3">
      <c r="B30" s="1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x14ac:dyDescent="0.3">
      <c r="B31" s="16" t="s">
        <v>13</v>
      </c>
      <c r="C31" s="14"/>
      <c r="D31" s="14">
        <v>78820</v>
      </c>
      <c r="E31" s="14"/>
      <c r="F31" s="14">
        <v>71822</v>
      </c>
      <c r="G31" s="14"/>
      <c r="H31" s="14"/>
      <c r="I31" s="14"/>
      <c r="J31" s="14"/>
      <c r="K31" s="14"/>
      <c r="L31" s="14"/>
      <c r="M31" s="14"/>
      <c r="N31" s="14"/>
      <c r="O31" s="14"/>
      <c r="P31" s="4"/>
      <c r="Q31" s="10">
        <f t="shared" si="3"/>
        <v>150642</v>
      </c>
    </row>
    <row r="32" spans="2:17" x14ac:dyDescent="0.3">
      <c r="B32" s="16" t="s">
        <v>12</v>
      </c>
      <c r="C32" s="14"/>
      <c r="D32" s="14"/>
      <c r="E32" s="14">
        <v>107757</v>
      </c>
      <c r="F32" s="14">
        <v>4765</v>
      </c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112522</v>
      </c>
    </row>
    <row r="33" spans="2:17" x14ac:dyDescent="0.3">
      <c r="B33" s="16" t="s">
        <v>11</v>
      </c>
      <c r="C33" s="14"/>
      <c r="D33" s="14">
        <f>5289.6+5121.6+840+6300+12000+3504+3600</f>
        <v>36655.199999999997</v>
      </c>
      <c r="E33" s="14">
        <f>8640+18000+3948+840+6000+4656+4454.4</f>
        <v>46538.400000000001</v>
      </c>
      <c r="F33" s="14">
        <f>8460+6000+624+840+18000+4539.6+15840+6124.8+4368+1281.6+8112+288+12600</f>
        <v>87078</v>
      </c>
      <c r="G33" s="14"/>
      <c r="H33" s="14"/>
      <c r="I33" s="14"/>
      <c r="J33" s="14"/>
      <c r="K33" s="14"/>
      <c r="L33" s="14"/>
      <c r="M33" s="14"/>
      <c r="N33" s="14"/>
      <c r="O33" s="14"/>
      <c r="P33" s="4"/>
      <c r="Q33" s="10">
        <f t="shared" si="3"/>
        <v>170271.6</v>
      </c>
    </row>
    <row r="34" spans="2:17" x14ac:dyDescent="0.3"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4"/>
      <c r="Q34" s="10">
        <f t="shared" si="3"/>
        <v>0</v>
      </c>
    </row>
    <row r="35" spans="2:17" x14ac:dyDescent="0.3">
      <c r="B35" s="40" t="s">
        <v>10</v>
      </c>
      <c r="C35" s="14"/>
      <c r="D35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5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5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5" s="14"/>
      <c r="H35" s="14"/>
      <c r="I35" s="14"/>
      <c r="J35" s="14"/>
      <c r="K35" s="14"/>
      <c r="L35" s="14"/>
      <c r="M35" s="14"/>
      <c r="N35" s="14"/>
      <c r="O35" s="14"/>
      <c r="P35" s="4"/>
      <c r="Q35" s="10">
        <f t="shared" si="3"/>
        <v>631271.53</v>
      </c>
    </row>
    <row r="36" spans="2:17" x14ac:dyDescent="0.3">
      <c r="B36" s="41" t="s">
        <v>9</v>
      </c>
      <c r="C36" s="14"/>
      <c r="D36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6" s="14">
        <f>412.05+575.96+761.92+416.28+525.52+342.76+272.04+309.91+643.05+475.2+1034+324.58+167.28+155.69+508.41+274.93+549.82+331.2+379.75+544.31</f>
        <v>9004.659999999998</v>
      </c>
      <c r="F36" s="14">
        <f>355.31+618.88+616.8+572.8+369.28+306.35+264.22+309.92+618.36+474.85+987+348.22+378.46+489.84+167.28+362.4+624.79+385.6+367.04+463.53+604.32</f>
        <v>9685.25</v>
      </c>
      <c r="G36" s="14"/>
      <c r="H36" s="14"/>
      <c r="I36" s="14"/>
      <c r="J36" s="14"/>
      <c r="K36" s="14"/>
      <c r="L36" s="14"/>
      <c r="M36" s="14"/>
      <c r="N36" s="14"/>
      <c r="O36" s="14"/>
      <c r="P36" s="4"/>
      <c r="Q36" s="10">
        <f t="shared" si="3"/>
        <v>31996.039999999994</v>
      </c>
    </row>
    <row r="37" spans="2:17" x14ac:dyDescent="0.3">
      <c r="B37" s="41" t="s">
        <v>39</v>
      </c>
      <c r="C37" s="14"/>
      <c r="D37" s="14">
        <f>750+3000</f>
        <v>3750</v>
      </c>
      <c r="E37" s="14"/>
      <c r="F37" s="14">
        <f>3000</f>
        <v>3000</v>
      </c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6750</v>
      </c>
    </row>
    <row r="38" spans="2:17" x14ac:dyDescent="0.3">
      <c r="B38" s="41" t="s">
        <v>8</v>
      </c>
      <c r="C38" s="14"/>
      <c r="D38" s="14">
        <f>259+42.96+49.59</f>
        <v>351.54999999999995</v>
      </c>
      <c r="E38" s="14">
        <f>915.99+1797.01+29.2+187.87+1573.3+1589+5092.41+100</f>
        <v>11284.779999999999</v>
      </c>
      <c r="F38" s="14">
        <f>1479+1504</f>
        <v>2983</v>
      </c>
      <c r="G38" s="14"/>
      <c r="H38" s="14"/>
      <c r="I38" s="14"/>
      <c r="J38" s="14"/>
      <c r="K38" s="14"/>
      <c r="L38" s="14"/>
      <c r="M38" s="14"/>
      <c r="N38" s="14"/>
      <c r="O38" s="14"/>
      <c r="P38" s="4"/>
      <c r="Q38" s="10">
        <f t="shared" si="3"/>
        <v>14619.329999999998</v>
      </c>
    </row>
    <row r="39" spans="2:17" x14ac:dyDescent="0.3">
      <c r="B39" s="41" t="s">
        <v>42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4"/>
      <c r="Q39" s="10">
        <f t="shared" si="3"/>
        <v>0</v>
      </c>
    </row>
    <row r="40" spans="2:17" x14ac:dyDescent="0.3">
      <c r="B40" s="41" t="s">
        <v>37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"/>
      <c r="Q40" s="10">
        <f t="shared" si="3"/>
        <v>0</v>
      </c>
    </row>
    <row r="41" spans="2:17" x14ac:dyDescent="0.3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"/>
      <c r="Q41" s="10">
        <f t="shared" si="3"/>
        <v>0</v>
      </c>
    </row>
    <row r="42" spans="2:17" x14ac:dyDescent="0.3">
      <c r="B42" s="42" t="s">
        <v>7</v>
      </c>
      <c r="C42" s="14"/>
      <c r="D42" s="14">
        <v>87282</v>
      </c>
      <c r="E42" s="14">
        <f>92515+5</f>
        <v>92520</v>
      </c>
      <c r="F42" s="14">
        <v>99636</v>
      </c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279438</v>
      </c>
    </row>
    <row r="43" spans="2:17" x14ac:dyDescent="0.3">
      <c r="B43" s="43" t="s">
        <v>6</v>
      </c>
      <c r="C43" s="14"/>
      <c r="D43" s="14">
        <v>32122.63</v>
      </c>
      <c r="E43" s="14">
        <v>33001.03</v>
      </c>
      <c r="F43" s="14">
        <f>35347.28</f>
        <v>35347.279999999999</v>
      </c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100470.94</v>
      </c>
    </row>
    <row r="44" spans="2:17" x14ac:dyDescent="0.3">
      <c r="B44" s="43" t="s">
        <v>5</v>
      </c>
      <c r="C44" s="14"/>
      <c r="D44" s="14"/>
      <c r="E44" s="14">
        <f>9074.94</f>
        <v>9074.94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9074.94</v>
      </c>
    </row>
    <row r="45" spans="2:17" x14ac:dyDescent="0.3">
      <c r="B45" s="43" t="s">
        <v>4</v>
      </c>
      <c r="C45" s="14"/>
      <c r="D45" s="14"/>
      <c r="E45" s="14">
        <v>8770.83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4"/>
      <c r="Q45" s="10">
        <f t="shared" si="3"/>
        <v>8770.83</v>
      </c>
    </row>
    <row r="46" spans="2:17" ht="15" thickBot="1" x14ac:dyDescent="0.35">
      <c r="B46" s="43" t="s">
        <v>3</v>
      </c>
      <c r="C46" s="14"/>
      <c r="D46" s="14">
        <v>17854</v>
      </c>
      <c r="E46" s="14">
        <v>15233</v>
      </c>
      <c r="F46" s="14">
        <f>16160</f>
        <v>16160</v>
      </c>
      <c r="G46" s="14"/>
      <c r="H46" s="14"/>
      <c r="I46" s="14"/>
      <c r="J46" s="14"/>
      <c r="K46" s="14"/>
      <c r="L46" s="14"/>
      <c r="M46" s="14"/>
      <c r="N46" s="14"/>
      <c r="O46" s="14"/>
      <c r="P46" s="4"/>
      <c r="Q46" s="10">
        <f t="shared" si="3"/>
        <v>49247</v>
      </c>
    </row>
    <row r="47" spans="2:17" ht="16.2" thickBot="1" x14ac:dyDescent="0.35">
      <c r="B47" s="9" t="s">
        <v>2</v>
      </c>
      <c r="C47" s="8">
        <f>C17+C46</f>
        <v>0</v>
      </c>
      <c r="D47" s="8">
        <f>SUM(D17:D46)</f>
        <v>481477.75000000006</v>
      </c>
      <c r="E47" s="8">
        <f>SUM(E17:E46)</f>
        <v>544536.39</v>
      </c>
      <c r="F47" s="8">
        <f t="shared" ref="F47:H47" si="4">SUM(F17:F46)</f>
        <v>591609.6100000001</v>
      </c>
      <c r="G47" s="8">
        <f t="shared" si="4"/>
        <v>0</v>
      </c>
      <c r="H47" s="8">
        <f t="shared" si="4"/>
        <v>0</v>
      </c>
      <c r="I47" s="8">
        <f t="shared" ref="I47:O47" si="5">I17+I46</f>
        <v>0</v>
      </c>
      <c r="J47" s="8">
        <f t="shared" si="5"/>
        <v>0</v>
      </c>
      <c r="K47" s="8">
        <f t="shared" si="5"/>
        <v>0</v>
      </c>
      <c r="L47" s="8">
        <f t="shared" si="5"/>
        <v>0</v>
      </c>
      <c r="M47" s="8">
        <f t="shared" si="5"/>
        <v>0</v>
      </c>
      <c r="N47" s="8">
        <f t="shared" si="5"/>
        <v>0</v>
      </c>
      <c r="O47" s="8">
        <f t="shared" si="5"/>
        <v>0</v>
      </c>
      <c r="P47" s="7"/>
      <c r="Q47" s="3">
        <f>+SUM(C47:O47)</f>
        <v>1617623.7500000002</v>
      </c>
    </row>
    <row r="48" spans="2:17" ht="15" thickBot="1" x14ac:dyDescent="0.35">
      <c r="B48" s="6"/>
      <c r="C48" s="5"/>
      <c r="D48" s="5"/>
      <c r="E48" s="5"/>
      <c r="F48" s="5"/>
      <c r="G48" s="5"/>
      <c r="H48" s="5"/>
      <c r="I48" s="5"/>
      <c r="J48" s="5"/>
      <c r="K48" s="5"/>
      <c r="M48" s="5"/>
      <c r="N48" s="5"/>
      <c r="P48" s="4"/>
    </row>
    <row r="49" spans="2:17" ht="15.6" x14ac:dyDescent="0.3">
      <c r="B49" s="67" t="s">
        <v>1</v>
      </c>
      <c r="C49" s="46">
        <f>C14-C47</f>
        <v>99543.81</v>
      </c>
      <c r="D49" s="46">
        <f t="shared" ref="D49:O49" si="6">D14-D47</f>
        <v>183752.73000000004</v>
      </c>
      <c r="E49" s="46">
        <f t="shared" si="6"/>
        <v>-98423.400000000023</v>
      </c>
      <c r="F49" s="46">
        <f t="shared" si="6"/>
        <v>4031.4399999999441</v>
      </c>
      <c r="G49" s="46">
        <f t="shared" si="6"/>
        <v>0</v>
      </c>
      <c r="H49" s="46">
        <f t="shared" si="6"/>
        <v>0</v>
      </c>
      <c r="I49" s="46">
        <f t="shared" si="6"/>
        <v>0</v>
      </c>
      <c r="J49" s="46">
        <f t="shared" si="6"/>
        <v>0</v>
      </c>
      <c r="K49" s="46">
        <f t="shared" si="6"/>
        <v>0</v>
      </c>
      <c r="L49" s="46">
        <f t="shared" si="6"/>
        <v>0</v>
      </c>
      <c r="M49" s="46">
        <f t="shared" si="6"/>
        <v>0</v>
      </c>
      <c r="N49" s="46">
        <f t="shared" si="6"/>
        <v>0</v>
      </c>
      <c r="O49" s="46">
        <f t="shared" si="6"/>
        <v>0</v>
      </c>
      <c r="P49" s="47"/>
      <c r="Q49" s="48">
        <f>Q14-Q47</f>
        <v>188904.57999999984</v>
      </c>
    </row>
    <row r="50" spans="2:17" ht="16.2" thickBot="1" x14ac:dyDescent="0.35">
      <c r="B50" s="68" t="s">
        <v>0</v>
      </c>
      <c r="C50" s="46">
        <f>C49</f>
        <v>99543.81</v>
      </c>
      <c r="D50" s="46">
        <f>D49+C50</f>
        <v>283296.54000000004</v>
      </c>
      <c r="E50" s="46">
        <f>E49+D50</f>
        <v>184873.14</v>
      </c>
      <c r="F50" s="46">
        <f t="shared" ref="F50:O50" si="7">F49+E50</f>
        <v>188904.57999999996</v>
      </c>
      <c r="G50" s="46">
        <f t="shared" si="7"/>
        <v>188904.57999999996</v>
      </c>
      <c r="H50" s="46">
        <f t="shared" si="7"/>
        <v>188904.57999999996</v>
      </c>
      <c r="I50" s="46">
        <f t="shared" si="7"/>
        <v>188904.57999999996</v>
      </c>
      <c r="J50" s="46">
        <f t="shared" si="7"/>
        <v>188904.57999999996</v>
      </c>
      <c r="K50" s="46">
        <f t="shared" si="7"/>
        <v>188904.57999999996</v>
      </c>
      <c r="L50" s="46">
        <f t="shared" si="7"/>
        <v>188904.57999999996</v>
      </c>
      <c r="M50" s="46">
        <f t="shared" si="7"/>
        <v>188904.57999999996</v>
      </c>
      <c r="N50" s="46">
        <f t="shared" si="7"/>
        <v>188904.57999999996</v>
      </c>
      <c r="O50" s="46">
        <f t="shared" si="7"/>
        <v>188904.57999999996</v>
      </c>
      <c r="P50" s="47"/>
      <c r="Q50" s="48"/>
    </row>
  </sheetData>
  <mergeCells count="1">
    <mergeCell ref="B2:C3"/>
  </mergeCells>
  <conditionalFormatting sqref="C49:Q50">
    <cfRule type="cellIs" dxfId="39" priority="1" operator="lessThan">
      <formula>0</formula>
    </cfRule>
    <cfRule type="cellIs" dxfId="38" priority="2" operator="greaterThan">
      <formula>0</formula>
    </cfRule>
  </conditionalFormatting>
  <conditionalFormatting sqref="Q47">
    <cfRule type="cellIs" dxfId="37" priority="3" operator="greaterThan">
      <formula>0</formula>
    </cfRule>
    <cfRule type="cellIs" dxfId="36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9A43-E957-4211-971B-153257B2DA27}">
  <dimension ref="B1:Q51"/>
  <sheetViews>
    <sheetView zoomScale="89" workbookViewId="0">
      <selection activeCell="F33" sqref="F33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4" width="16.44140625" style="2" customWidth="1"/>
    <col min="5" max="9" width="16.5546875" style="2" customWidth="1"/>
    <col min="10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59</v>
      </c>
    </row>
    <row r="2" spans="2:17" ht="18" x14ac:dyDescent="0.3">
      <c r="B2" s="70" t="s">
        <v>53</v>
      </c>
      <c r="C2" s="70"/>
      <c r="D2" s="49">
        <f t="shared" ref="D2:O2" si="0">+D51</f>
        <v>283296.54000000004</v>
      </c>
      <c r="E2" s="49">
        <f t="shared" si="0"/>
        <v>184873.14</v>
      </c>
      <c r="F2" s="49">
        <f t="shared" si="0"/>
        <v>188904.57999999996</v>
      </c>
      <c r="G2" s="49">
        <f t="shared" si="0"/>
        <v>284502.07000000007</v>
      </c>
      <c r="H2" s="49">
        <f t="shared" si="0"/>
        <v>284502.07000000007</v>
      </c>
      <c r="I2" s="49">
        <f t="shared" si="0"/>
        <v>284502.07000000007</v>
      </c>
      <c r="J2" s="49">
        <f t="shared" si="0"/>
        <v>284502.07000000007</v>
      </c>
      <c r="K2" s="49">
        <f t="shared" si="0"/>
        <v>284502.07000000007</v>
      </c>
      <c r="L2" s="49">
        <f t="shared" si="0"/>
        <v>284502.07000000007</v>
      </c>
      <c r="M2" s="49">
        <f t="shared" si="0"/>
        <v>284502.07000000007</v>
      </c>
      <c r="N2" s="49">
        <f t="shared" si="0"/>
        <v>284502.07000000007</v>
      </c>
      <c r="O2" s="49">
        <f t="shared" si="0"/>
        <v>284502.07000000007</v>
      </c>
      <c r="P2" s="2">
        <f>P51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/>
      <c r="J9" s="34"/>
      <c r="K9" s="34"/>
      <c r="L9" s="33"/>
      <c r="M9" s="34"/>
      <c r="N9" s="34"/>
      <c r="O9" s="33"/>
      <c r="P9" s="25"/>
      <c r="Q9" s="58">
        <f>SUM(C9:O9)</f>
        <v>0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v>636360.18000000005</v>
      </c>
      <c r="H11" s="28"/>
      <c r="I11" s="29"/>
      <c r="J11" s="29"/>
      <c r="K11" s="29"/>
      <c r="L11" s="28"/>
      <c r="M11" s="29"/>
      <c r="N11" s="29"/>
      <c r="O11" s="28"/>
      <c r="P11" s="25"/>
      <c r="Q11" s="56">
        <f>SUM(C11:O11)</f>
        <v>2342894.0300000003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/>
      <c r="I12" s="29"/>
      <c r="J12" s="29"/>
      <c r="K12" s="29"/>
      <c r="L12" s="28"/>
      <c r="M12" s="29"/>
      <c r="N12" s="29"/>
      <c r="O12" s="28"/>
      <c r="P12" s="25"/>
      <c r="Q12" s="56">
        <f>SUM(C12:O12)</f>
        <v>450.67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636360.18000000005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2442888.5100000002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7.2+0.98+2+462.84+13200+0.07+0.3+0.3+0.3+0.3+0.3+0.3+0.3+0.3+0.3+0.3+0.3+0.3+0.3+0.3+0.3+0.3+0.3+0.3+0.3+0.3+0.3+0.3+0.3+0.3+0.3+0.3+0.3+0.3+0.3+0.3+0.3+0.3+0.3+0.3+0.3+0.3+0.3</f>
        <v>13684.189999999973</v>
      </c>
      <c r="G17" s="14"/>
      <c r="H17" s="14"/>
      <c r="I17" s="14"/>
      <c r="J17" s="14"/>
      <c r="K17" s="14"/>
      <c r="L17" s="14"/>
      <c r="M17" s="14"/>
      <c r="N17" s="14"/>
      <c r="O17" s="14"/>
      <c r="P17" s="4"/>
      <c r="Q17" s="10">
        <f t="shared" ref="Q17:Q47" si="3">+SUM(C17:O17)</f>
        <v>17058.619999999984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v>38.36</v>
      </c>
      <c r="H18" s="14"/>
      <c r="I18" s="14"/>
      <c r="J18" s="14"/>
      <c r="K18" s="14"/>
      <c r="L18" s="14"/>
      <c r="M18" s="14"/>
      <c r="N18" s="14"/>
      <c r="O18" s="14"/>
      <c r="P18" s="4"/>
      <c r="Q18" s="10">
        <f t="shared" si="3"/>
        <v>115.08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/>
      <c r="H21" s="14"/>
      <c r="I21" s="14"/>
      <c r="J21" s="14"/>
      <c r="K21" s="14"/>
      <c r="L21" s="14"/>
      <c r="M21" s="14"/>
      <c r="N21" s="14"/>
      <c r="O21" s="14"/>
      <c r="P21" s="4"/>
      <c r="Q21" s="10">
        <f t="shared" si="3"/>
        <v>5972.4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58</v>
      </c>
      <c r="C23" s="14"/>
      <c r="D23" s="14"/>
      <c r="E23" s="14"/>
      <c r="F23" s="14"/>
      <c r="G23" s="14">
        <v>1405.38</v>
      </c>
      <c r="H23" s="14"/>
      <c r="I23" s="14"/>
      <c r="J23" s="14"/>
      <c r="K23" s="14"/>
      <c r="L23" s="14"/>
      <c r="M23" s="14"/>
      <c r="N23" s="14"/>
      <c r="O23" s="14"/>
      <c r="P23" s="4"/>
      <c r="Q23" s="10"/>
    </row>
    <row r="24" spans="2:17" x14ac:dyDescent="0.3">
      <c r="B24" s="17" t="s">
        <v>18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4"/>
      <c r="Q24" s="10">
        <f t="shared" si="3"/>
        <v>0</v>
      </c>
    </row>
    <row r="25" spans="2:17" x14ac:dyDescent="0.3">
      <c r="B25" s="17" t="s">
        <v>17</v>
      </c>
      <c r="C25" s="14"/>
      <c r="D25" s="14">
        <v>324</v>
      </c>
      <c r="E25" s="14">
        <v>324</v>
      </c>
      <c r="F25" s="14">
        <v>324</v>
      </c>
      <c r="G25" s="14">
        <v>324</v>
      </c>
      <c r="H25" s="14"/>
      <c r="I25" s="14"/>
      <c r="J25" s="14"/>
      <c r="K25" s="14"/>
      <c r="L25" s="14"/>
      <c r="M25" s="14"/>
      <c r="N25" s="14"/>
      <c r="O25" s="14"/>
      <c r="P25" s="4"/>
      <c r="Q25" s="10">
        <f t="shared" si="3"/>
        <v>1296</v>
      </c>
    </row>
    <row r="26" spans="2:17" x14ac:dyDescent="0.3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P26" s="4"/>
      <c r="Q26" s="10">
        <f t="shared" si="3"/>
        <v>0</v>
      </c>
    </row>
    <row r="27" spans="2:17" x14ac:dyDescent="0.3">
      <c r="B27" s="44" t="s">
        <v>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"/>
      <c r="Q27" s="10">
        <f t="shared" si="3"/>
        <v>0</v>
      </c>
    </row>
    <row r="28" spans="2:17" x14ac:dyDescent="0.3">
      <c r="B28" s="45" t="s">
        <v>15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41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ht="15" customHeight="1" x14ac:dyDescent="0.3">
      <c r="B30" s="45" t="s">
        <v>14</v>
      </c>
      <c r="C30" s="14"/>
      <c r="D30" s="14">
        <f>108.34+5.04+828.65+337+14.4+9.34+60+244.98+412.56+414.97+82.7+349.56</f>
        <v>2867.5399999999995</v>
      </c>
      <c r="E30" s="14">
        <f>1.28+2047+14.4+61.2+94.9</f>
        <v>2218.7800000000002</v>
      </c>
      <c r="F30" s="14">
        <f>5.14+672.18+292.7+352.8+6.71+97.46+22.99+468+14.4+3.33+7.18+3467.9</f>
        <v>5410.79</v>
      </c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10497.11</v>
      </c>
    </row>
    <row r="31" spans="2:17" ht="15" customHeight="1" x14ac:dyDescent="0.3"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4"/>
      <c r="Q31" s="10">
        <f t="shared" si="3"/>
        <v>0</v>
      </c>
    </row>
    <row r="32" spans="2:17" x14ac:dyDescent="0.3">
      <c r="B32" s="16" t="s">
        <v>13</v>
      </c>
      <c r="C32" s="14"/>
      <c r="D32" s="14">
        <v>78820</v>
      </c>
      <c r="E32" s="14"/>
      <c r="F32" s="14">
        <v>71822</v>
      </c>
      <c r="G32" s="14">
        <v>57505</v>
      </c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208147</v>
      </c>
    </row>
    <row r="33" spans="2:17" x14ac:dyDescent="0.3">
      <c r="B33" s="16" t="s">
        <v>12</v>
      </c>
      <c r="C33" s="14"/>
      <c r="D33" s="14"/>
      <c r="E33" s="14">
        <v>107757</v>
      </c>
      <c r="F33" s="14">
        <v>4765</v>
      </c>
      <c r="G33" s="14"/>
      <c r="H33" s="14"/>
      <c r="I33" s="14"/>
      <c r="J33" s="14"/>
      <c r="K33" s="14"/>
      <c r="L33" s="14"/>
      <c r="M33" s="14"/>
      <c r="N33" s="14"/>
      <c r="O33" s="14"/>
      <c r="P33" s="4"/>
      <c r="Q33" s="10">
        <f t="shared" si="3"/>
        <v>112522</v>
      </c>
    </row>
    <row r="34" spans="2:17" x14ac:dyDescent="0.3">
      <c r="B34" s="16" t="s">
        <v>11</v>
      </c>
      <c r="C34" s="14"/>
      <c r="D34" s="14">
        <f>5289.6+5121.6+840+6300+12000+3504+3600</f>
        <v>36655.199999999997</v>
      </c>
      <c r="E34" s="14">
        <f>8640+18000+3948+840+6000+4656+4454.4</f>
        <v>46538.400000000001</v>
      </c>
      <c r="F34" s="14">
        <f>8460+6000+624+840+18000+4539.6+15840+6124.8+4368+1281.6+8112+288+12600</f>
        <v>87078</v>
      </c>
      <c r="G34" s="14">
        <v>65409.8</v>
      </c>
      <c r="H34" s="14"/>
      <c r="I34" s="14"/>
      <c r="J34" s="14"/>
      <c r="K34" s="14"/>
      <c r="L34" s="14"/>
      <c r="M34" s="14"/>
      <c r="N34" s="14"/>
      <c r="O34" s="14"/>
      <c r="P34" s="4"/>
      <c r="Q34" s="10">
        <f t="shared" si="3"/>
        <v>235681.40000000002</v>
      </c>
    </row>
    <row r="35" spans="2:17" x14ac:dyDescent="0.3"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4"/>
      <c r="Q35" s="10">
        <f t="shared" si="3"/>
        <v>0</v>
      </c>
    </row>
    <row r="36" spans="2:17" x14ac:dyDescent="0.3">
      <c r="B36" s="40" t="s">
        <v>10</v>
      </c>
      <c r="C36" s="14"/>
      <c r="D36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6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6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6" s="14">
        <v>228000</v>
      </c>
      <c r="H36" s="14"/>
      <c r="I36" s="14"/>
      <c r="J36" s="14"/>
      <c r="K36" s="14"/>
      <c r="L36" s="14"/>
      <c r="M36" s="14"/>
      <c r="N36" s="14"/>
      <c r="O36" s="14"/>
      <c r="P36" s="4"/>
      <c r="Q36" s="10">
        <f t="shared" si="3"/>
        <v>859271.53</v>
      </c>
    </row>
    <row r="37" spans="2:17" x14ac:dyDescent="0.3">
      <c r="B37" s="41" t="s">
        <v>9</v>
      </c>
      <c r="C37" s="14"/>
      <c r="D37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7" s="14">
        <f>412.05+575.96+761.92+416.28+525.52+342.76+272.04+309.91+643.05+475.2+1034+324.58+167.28+155.69+508.41+274.93+549.82+331.2+379.75+544.31</f>
        <v>9004.659999999998</v>
      </c>
      <c r="F37" s="14">
        <f>355.31+618.88+616.8+572.8+369.28+306.35+264.22+309.92+618.36+474.85+987+348.22+378.46+489.84+167.28+362.4+624.79+385.6+367.04+463.53+604.32</f>
        <v>9685.25</v>
      </c>
      <c r="G37" s="14">
        <v>9500</v>
      </c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41496.039999999994</v>
      </c>
    </row>
    <row r="38" spans="2:17" x14ac:dyDescent="0.3">
      <c r="B38" s="41" t="s">
        <v>39</v>
      </c>
      <c r="C38" s="14"/>
      <c r="D38" s="14">
        <f>750+3000</f>
        <v>3750</v>
      </c>
      <c r="E38" s="14"/>
      <c r="F38" s="14">
        <f>3000</f>
        <v>3000</v>
      </c>
      <c r="G38" s="14">
        <v>4500</v>
      </c>
      <c r="H38" s="14"/>
      <c r="I38" s="14"/>
      <c r="J38" s="14"/>
      <c r="K38" s="14"/>
      <c r="L38" s="14"/>
      <c r="M38" s="14"/>
      <c r="N38" s="14"/>
      <c r="O38" s="14"/>
      <c r="P38" s="4"/>
      <c r="Q38" s="10">
        <f t="shared" si="3"/>
        <v>11250</v>
      </c>
    </row>
    <row r="39" spans="2:17" x14ac:dyDescent="0.3">
      <c r="B39" s="41" t="s">
        <v>8</v>
      </c>
      <c r="C39" s="14"/>
      <c r="D39" s="14">
        <f>259+42.96+49.59</f>
        <v>351.54999999999995</v>
      </c>
      <c r="E39" s="14">
        <f>915.99+1797.01+29.2+187.87+1573.3+1589+5092.41+100</f>
        <v>11284.779999999999</v>
      </c>
      <c r="F39" s="14">
        <f>1479+1504</f>
        <v>2983</v>
      </c>
      <c r="G39" s="14">
        <f>1829+138.05+1479+429.99</f>
        <v>3876.04</v>
      </c>
      <c r="H39" s="14"/>
      <c r="I39" s="14"/>
      <c r="J39" s="14"/>
      <c r="K39" s="14"/>
      <c r="L39" s="14"/>
      <c r="M39" s="14"/>
      <c r="N39" s="14"/>
      <c r="O39" s="14"/>
      <c r="P39" s="4"/>
      <c r="Q39" s="10">
        <f t="shared" si="3"/>
        <v>18495.37</v>
      </c>
    </row>
    <row r="40" spans="2:17" x14ac:dyDescent="0.3">
      <c r="B40" s="41" t="s">
        <v>42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4"/>
      <c r="Q40" s="10">
        <f t="shared" si="3"/>
        <v>0</v>
      </c>
    </row>
    <row r="41" spans="2:17" x14ac:dyDescent="0.3">
      <c r="B41" s="41" t="s">
        <v>37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"/>
      <c r="Q41" s="10">
        <f t="shared" si="3"/>
        <v>0</v>
      </c>
    </row>
    <row r="42" spans="2:17" x14ac:dyDescent="0.3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2" t="s">
        <v>7</v>
      </c>
      <c r="C43" s="14"/>
      <c r="D43" s="14">
        <v>87282</v>
      </c>
      <c r="E43" s="14">
        <f>92515+5</f>
        <v>92520</v>
      </c>
      <c r="F43" s="14">
        <v>99636</v>
      </c>
      <c r="G43" s="14">
        <v>95113</v>
      </c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374551</v>
      </c>
    </row>
    <row r="44" spans="2:17" x14ac:dyDescent="0.3">
      <c r="B44" s="43" t="s">
        <v>6</v>
      </c>
      <c r="C44" s="14"/>
      <c r="D44" s="14">
        <v>32122.63</v>
      </c>
      <c r="E44" s="14">
        <v>33001.03</v>
      </c>
      <c r="F44" s="14">
        <f>35347.28</f>
        <v>35347.279999999999</v>
      </c>
      <c r="G44" s="14">
        <v>33634.25</v>
      </c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134105.19</v>
      </c>
    </row>
    <row r="45" spans="2:17" x14ac:dyDescent="0.3">
      <c r="B45" s="43" t="s">
        <v>5</v>
      </c>
      <c r="C45" s="14"/>
      <c r="D45" s="14"/>
      <c r="E45" s="14">
        <f>9074.94</f>
        <v>9074.94</v>
      </c>
      <c r="F45" s="14"/>
      <c r="G45" s="14">
        <v>21204.75</v>
      </c>
      <c r="H45" s="14"/>
      <c r="I45" s="14"/>
      <c r="J45" s="14"/>
      <c r="K45" s="14"/>
      <c r="L45" s="14"/>
      <c r="M45" s="14"/>
      <c r="N45" s="14"/>
      <c r="O45" s="14"/>
      <c r="P45" s="4"/>
      <c r="Q45" s="10">
        <f t="shared" si="3"/>
        <v>30279.690000000002</v>
      </c>
    </row>
    <row r="46" spans="2:17" x14ac:dyDescent="0.3">
      <c r="B46" s="43" t="s">
        <v>4</v>
      </c>
      <c r="C46" s="14"/>
      <c r="D46" s="14"/>
      <c r="E46" s="14">
        <v>8770.83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4"/>
      <c r="Q46" s="10">
        <f t="shared" si="3"/>
        <v>8770.83</v>
      </c>
    </row>
    <row r="47" spans="2:17" ht="15" thickBot="1" x14ac:dyDescent="0.35">
      <c r="B47" s="43" t="s">
        <v>3</v>
      </c>
      <c r="C47" s="14"/>
      <c r="D47" s="14">
        <v>17854</v>
      </c>
      <c r="E47" s="14">
        <v>15233</v>
      </c>
      <c r="F47" s="14">
        <f>16160</f>
        <v>16160</v>
      </c>
      <c r="G47" s="14">
        <v>14536</v>
      </c>
      <c r="H47" s="14"/>
      <c r="I47" s="14"/>
      <c r="J47" s="14"/>
      <c r="K47" s="14"/>
      <c r="L47" s="14"/>
      <c r="M47" s="14"/>
      <c r="N47" s="14"/>
      <c r="O47" s="14"/>
      <c r="P47" s="4"/>
      <c r="Q47" s="10">
        <f t="shared" si="3"/>
        <v>63783</v>
      </c>
    </row>
    <row r="48" spans="2:17" ht="16.2" thickBot="1" x14ac:dyDescent="0.35">
      <c r="B48" s="9" t="s">
        <v>2</v>
      </c>
      <c r="C48" s="8">
        <f>C17+C47</f>
        <v>0</v>
      </c>
      <c r="D48" s="8">
        <f>SUM(D17:D47)</f>
        <v>481477.75000000006</v>
      </c>
      <c r="E48" s="8">
        <f>SUM(E17:E47)</f>
        <v>544536.39</v>
      </c>
      <c r="F48" s="8">
        <f t="shared" ref="F48:H48" si="4">SUM(F17:F47)</f>
        <v>591609.6100000001</v>
      </c>
      <c r="G48" s="8">
        <f t="shared" si="4"/>
        <v>540762.68999999994</v>
      </c>
      <c r="H48" s="8">
        <f t="shared" si="4"/>
        <v>0</v>
      </c>
      <c r="I48" s="8">
        <f t="shared" ref="I48:O48" si="5">I17+I47</f>
        <v>0</v>
      </c>
      <c r="J48" s="8">
        <f t="shared" si="5"/>
        <v>0</v>
      </c>
      <c r="K48" s="8">
        <f t="shared" si="5"/>
        <v>0</v>
      </c>
      <c r="L48" s="8">
        <f t="shared" si="5"/>
        <v>0</v>
      </c>
      <c r="M48" s="8">
        <f t="shared" si="5"/>
        <v>0</v>
      </c>
      <c r="N48" s="8">
        <f t="shared" si="5"/>
        <v>0</v>
      </c>
      <c r="O48" s="8">
        <f t="shared" si="5"/>
        <v>0</v>
      </c>
      <c r="P48" s="7"/>
      <c r="Q48" s="3">
        <f>+SUM(C48:O48)</f>
        <v>2158386.4400000004</v>
      </c>
    </row>
    <row r="49" spans="2:17" ht="15" thickBot="1" x14ac:dyDescent="0.35">
      <c r="B49" s="6"/>
      <c r="C49" s="5"/>
      <c r="D49" s="5"/>
      <c r="E49" s="5"/>
      <c r="F49" s="5"/>
      <c r="G49" s="5"/>
      <c r="H49" s="5"/>
      <c r="I49" s="5"/>
      <c r="J49" s="5"/>
      <c r="K49" s="5"/>
      <c r="M49" s="5"/>
      <c r="N49" s="5"/>
      <c r="P49" s="4"/>
    </row>
    <row r="50" spans="2:17" ht="15.6" x14ac:dyDescent="0.3">
      <c r="B50" s="67" t="s">
        <v>1</v>
      </c>
      <c r="C50" s="46">
        <f>C14-C48</f>
        <v>99543.81</v>
      </c>
      <c r="D50" s="46">
        <f t="shared" ref="D50:O50" si="6">D14-D48</f>
        <v>183752.73000000004</v>
      </c>
      <c r="E50" s="46">
        <f t="shared" si="6"/>
        <v>-98423.400000000023</v>
      </c>
      <c r="F50" s="46">
        <f t="shared" si="6"/>
        <v>4031.4399999999441</v>
      </c>
      <c r="G50" s="46">
        <f t="shared" si="6"/>
        <v>95597.490000000107</v>
      </c>
      <c r="H50" s="46">
        <f t="shared" si="6"/>
        <v>0</v>
      </c>
      <c r="I50" s="46">
        <f t="shared" si="6"/>
        <v>0</v>
      </c>
      <c r="J50" s="46">
        <f t="shared" si="6"/>
        <v>0</v>
      </c>
      <c r="K50" s="46">
        <f t="shared" si="6"/>
        <v>0</v>
      </c>
      <c r="L50" s="46">
        <f t="shared" si="6"/>
        <v>0</v>
      </c>
      <c r="M50" s="46">
        <f t="shared" si="6"/>
        <v>0</v>
      </c>
      <c r="N50" s="46">
        <f t="shared" si="6"/>
        <v>0</v>
      </c>
      <c r="O50" s="46">
        <f t="shared" si="6"/>
        <v>0</v>
      </c>
      <c r="P50" s="47"/>
      <c r="Q50" s="48">
        <f>Q14-Q48</f>
        <v>284502.06999999983</v>
      </c>
    </row>
    <row r="51" spans="2:17" ht="16.2" thickBot="1" x14ac:dyDescent="0.35">
      <c r="B51" s="68" t="s">
        <v>0</v>
      </c>
      <c r="C51" s="46">
        <f>C50</f>
        <v>99543.81</v>
      </c>
      <c r="D51" s="46">
        <f>D50+C51</f>
        <v>283296.54000000004</v>
      </c>
      <c r="E51" s="46">
        <f>E50+D51</f>
        <v>184873.14</v>
      </c>
      <c r="F51" s="46">
        <f t="shared" ref="F51:O51" si="7">F50+E51</f>
        <v>188904.57999999996</v>
      </c>
      <c r="G51" s="46">
        <f t="shared" si="7"/>
        <v>284502.07000000007</v>
      </c>
      <c r="H51" s="46">
        <f t="shared" si="7"/>
        <v>284502.07000000007</v>
      </c>
      <c r="I51" s="46">
        <f t="shared" si="7"/>
        <v>284502.07000000007</v>
      </c>
      <c r="J51" s="46">
        <f t="shared" si="7"/>
        <v>284502.07000000007</v>
      </c>
      <c r="K51" s="46">
        <f t="shared" si="7"/>
        <v>284502.07000000007</v>
      </c>
      <c r="L51" s="46">
        <f t="shared" si="7"/>
        <v>284502.07000000007</v>
      </c>
      <c r="M51" s="46">
        <f t="shared" si="7"/>
        <v>284502.07000000007</v>
      </c>
      <c r="N51" s="46">
        <f t="shared" si="7"/>
        <v>284502.07000000007</v>
      </c>
      <c r="O51" s="46">
        <f t="shared" si="7"/>
        <v>284502.07000000007</v>
      </c>
      <c r="P51" s="47"/>
      <c r="Q51" s="48"/>
    </row>
  </sheetData>
  <mergeCells count="1">
    <mergeCell ref="B2:C3"/>
  </mergeCells>
  <conditionalFormatting sqref="C50:Q51">
    <cfRule type="cellIs" dxfId="35" priority="1" operator="lessThan">
      <formula>0</formula>
    </cfRule>
    <cfRule type="cellIs" dxfId="34" priority="2" operator="greaterThan">
      <formula>0</formula>
    </cfRule>
  </conditionalFormatting>
  <conditionalFormatting sqref="Q48">
    <cfRule type="cellIs" dxfId="33" priority="3" operator="greaterThan">
      <formula>0</formula>
    </cfRule>
    <cfRule type="cellIs" dxfId="32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5108E-01AE-4AA9-9D8B-3CA6F59681D2}">
  <dimension ref="B1:Q52"/>
  <sheetViews>
    <sheetView zoomScale="89" workbookViewId="0">
      <selection activeCell="J33" sqref="J33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7" width="17.5546875" style="2" bestFit="1" customWidth="1"/>
    <col min="8" max="9" width="16.5546875" style="2" customWidth="1"/>
    <col min="10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61</v>
      </c>
    </row>
    <row r="2" spans="2:17" ht="18" x14ac:dyDescent="0.3">
      <c r="B2" s="70" t="s">
        <v>53</v>
      </c>
      <c r="C2" s="70"/>
      <c r="D2" s="49">
        <f t="shared" ref="D2:O2" si="0">+D52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649915.66999999993</v>
      </c>
      <c r="I2" s="49">
        <f t="shared" si="0"/>
        <v>649915.66999999993</v>
      </c>
      <c r="J2" s="49">
        <f t="shared" si="0"/>
        <v>649915.66999999993</v>
      </c>
      <c r="K2" s="49">
        <f t="shared" si="0"/>
        <v>649915.66999999993</v>
      </c>
      <c r="L2" s="49">
        <f t="shared" si="0"/>
        <v>649915.66999999993</v>
      </c>
      <c r="M2" s="49">
        <f t="shared" si="0"/>
        <v>649915.66999999993</v>
      </c>
      <c r="N2" s="49">
        <f t="shared" si="0"/>
        <v>649915.66999999993</v>
      </c>
      <c r="O2" s="49">
        <f t="shared" si="0"/>
        <v>649915.66999999993</v>
      </c>
      <c r="P2" s="2">
        <f>P52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/>
      <c r="J9" s="34"/>
      <c r="K9" s="34"/>
      <c r="L9" s="33"/>
      <c r="M9" s="34"/>
      <c r="N9" s="34"/>
      <c r="O9" s="33"/>
      <c r="P9" s="25"/>
      <c r="Q9" s="58">
        <f>SUM(C9:O9)</f>
        <v>0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v>590183.57999999996</v>
      </c>
      <c r="I11" s="29"/>
      <c r="J11" s="29"/>
      <c r="K11" s="29"/>
      <c r="L11" s="28"/>
      <c r="M11" s="29"/>
      <c r="N11" s="29"/>
      <c r="O11" s="28"/>
      <c r="P11" s="25"/>
      <c r="Q11" s="56">
        <f>SUM(C11:O11)</f>
        <v>2950235.0300000003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/>
      <c r="I12" s="29"/>
      <c r="J12" s="29"/>
      <c r="K12" s="29"/>
      <c r="L12" s="28"/>
      <c r="M12" s="29"/>
      <c r="N12" s="29"/>
      <c r="O12" s="28"/>
      <c r="P12" s="25"/>
      <c r="Q12" s="56">
        <f>SUM(C12:O12)</f>
        <v>450.67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653517.6</v>
      </c>
      <c r="H14" s="23">
        <f t="shared" si="1"/>
        <v>590183.57999999996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3050229.5100000002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</f>
        <v>239.87</v>
      </c>
      <c r="I17" s="14"/>
      <c r="J17" s="14"/>
      <c r="K17" s="14"/>
      <c r="L17" s="14"/>
      <c r="M17" s="14"/>
      <c r="N17" s="14"/>
      <c r="O17" s="14"/>
      <c r="P17" s="4"/>
      <c r="Q17" s="10">
        <f t="shared" ref="Q17:Q48" si="3">+SUM(C17:O17)</f>
        <v>17320.739999999983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v>38.36</v>
      </c>
      <c r="I18" s="14"/>
      <c r="J18" s="14"/>
      <c r="K18" s="14"/>
      <c r="L18" s="14"/>
      <c r="M18" s="14"/>
      <c r="N18" s="14"/>
      <c r="O18" s="14"/>
      <c r="P18" s="4"/>
      <c r="Q18" s="10">
        <f t="shared" si="3"/>
        <v>191.8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/>
      <c r="J21" s="14"/>
      <c r="K21" s="14"/>
      <c r="L21" s="14"/>
      <c r="M21" s="14"/>
      <c r="N21" s="14"/>
      <c r="O21" s="14"/>
      <c r="P21" s="4"/>
      <c r="Q21" s="10">
        <f t="shared" si="3"/>
        <v>6229.2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58</v>
      </c>
      <c r="C23" s="14"/>
      <c r="D23" s="14"/>
      <c r="E23" s="14"/>
      <c r="F23" s="14"/>
      <c r="G23" s="14">
        <v>1405.38</v>
      </c>
      <c r="H23" s="14"/>
      <c r="I23" s="14"/>
      <c r="J23" s="14"/>
      <c r="K23" s="14"/>
      <c r="L23" s="14"/>
      <c r="M23" s="14"/>
      <c r="N23" s="14"/>
      <c r="O23" s="14"/>
      <c r="P23" s="4"/>
      <c r="Q23" s="10"/>
    </row>
    <row r="24" spans="2:17" x14ac:dyDescent="0.3">
      <c r="B24" s="17" t="s">
        <v>18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4"/>
      <c r="Q24" s="10">
        <f t="shared" si="3"/>
        <v>0</v>
      </c>
    </row>
    <row r="25" spans="2:17" x14ac:dyDescent="0.3">
      <c r="B25" s="17" t="s">
        <v>17</v>
      </c>
      <c r="C25" s="14"/>
      <c r="D25" s="14">
        <v>324</v>
      </c>
      <c r="E25" s="14">
        <v>324</v>
      </c>
      <c r="F25" s="14">
        <v>324</v>
      </c>
      <c r="G25" s="14">
        <v>324</v>
      </c>
      <c r="H25" s="14">
        <v>324</v>
      </c>
      <c r="I25" s="14"/>
      <c r="J25" s="14"/>
      <c r="K25" s="14"/>
      <c r="L25" s="14"/>
      <c r="M25" s="14"/>
      <c r="N25" s="14"/>
      <c r="O25" s="14"/>
      <c r="P25" s="4"/>
      <c r="Q25" s="10">
        <f t="shared" si="3"/>
        <v>1620</v>
      </c>
    </row>
    <row r="26" spans="2:17" x14ac:dyDescent="0.3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6"/>
      <c r="P26" s="4"/>
      <c r="Q26" s="10">
        <f t="shared" si="3"/>
        <v>0</v>
      </c>
    </row>
    <row r="27" spans="2:17" x14ac:dyDescent="0.3">
      <c r="B27" s="44" t="s">
        <v>16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"/>
      <c r="Q27" s="10">
        <f t="shared" si="3"/>
        <v>0</v>
      </c>
    </row>
    <row r="28" spans="2:17" x14ac:dyDescent="0.3">
      <c r="B28" s="45" t="s">
        <v>15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41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ht="15" customHeight="1" x14ac:dyDescent="0.3">
      <c r="B30" s="45" t="s">
        <v>14</v>
      </c>
      <c r="C30" s="14"/>
      <c r="D30" s="14">
        <f>108.34+5.04+828.65+337+14.4+9.34+60+244.98+412.56+414.97+82.7+349.56</f>
        <v>2867.5399999999995</v>
      </c>
      <c r="E30" s="14">
        <f>1.28+2047+14.4+61.2+94.9</f>
        <v>2218.7800000000002</v>
      </c>
      <c r="F30" s="14">
        <f>5.14+672.18+292.7+352.8+6.71+97.46+22.99+468+14.4+3.33+7.18+3467.9</f>
        <v>5410.79</v>
      </c>
      <c r="G30" s="14">
        <f>40.5+31.15+22.99+157.05+14.4+12.19+12.19+33.3+10.5+188.4+930+28.27+57.46+35.7</f>
        <v>1574.1000000000001</v>
      </c>
      <c r="H30" s="14">
        <f>11.56+114.91+22.99+36.2+14.4+2+73.4</f>
        <v>275.46000000000004</v>
      </c>
      <c r="I30" s="14"/>
      <c r="J30" s="14"/>
      <c r="K30" s="14"/>
      <c r="L30" s="14"/>
      <c r="M30" s="14"/>
      <c r="N30" s="14"/>
      <c r="O30" s="14"/>
      <c r="P30" s="4"/>
      <c r="Q30" s="10">
        <f t="shared" si="3"/>
        <v>12346.670000000002</v>
      </c>
    </row>
    <row r="31" spans="2:17" ht="15" customHeight="1" x14ac:dyDescent="0.3"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4"/>
      <c r="Q31" s="10">
        <f t="shared" si="3"/>
        <v>0</v>
      </c>
    </row>
    <row r="32" spans="2:17" x14ac:dyDescent="0.3">
      <c r="B32" s="16" t="s">
        <v>13</v>
      </c>
      <c r="C32" s="14"/>
      <c r="D32" s="14">
        <v>78820</v>
      </c>
      <c r="E32" s="14"/>
      <c r="F32" s="14">
        <v>71822</v>
      </c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150642</v>
      </c>
    </row>
    <row r="33" spans="2:17" x14ac:dyDescent="0.3">
      <c r="B33" s="16" t="s">
        <v>12</v>
      </c>
      <c r="C33" s="14"/>
      <c r="D33" s="14"/>
      <c r="E33" s="14">
        <v>107757</v>
      </c>
      <c r="F33" s="14">
        <v>4765</v>
      </c>
      <c r="G33" s="14">
        <v>57508</v>
      </c>
      <c r="H33" s="14"/>
      <c r="I33" s="14"/>
      <c r="J33" s="14"/>
      <c r="K33" s="14"/>
      <c r="L33" s="14"/>
      <c r="M33" s="14"/>
      <c r="N33" s="14"/>
      <c r="O33" s="14"/>
      <c r="P33" s="4"/>
      <c r="Q33" s="10">
        <f t="shared" si="3"/>
        <v>170030</v>
      </c>
    </row>
    <row r="34" spans="2:17" x14ac:dyDescent="0.3">
      <c r="B34" s="16" t="s">
        <v>60</v>
      </c>
      <c r="C34" s="14"/>
      <c r="D34" s="14"/>
      <c r="E34" s="14"/>
      <c r="F34" s="14"/>
      <c r="G34" s="14"/>
      <c r="H34" s="14">
        <v>7848</v>
      </c>
      <c r="I34" s="14"/>
      <c r="J34" s="14"/>
      <c r="K34" s="14"/>
      <c r="L34" s="14"/>
      <c r="M34" s="14"/>
      <c r="N34" s="14"/>
      <c r="O34" s="14"/>
      <c r="P34" s="4"/>
      <c r="Q34" s="10"/>
    </row>
    <row r="35" spans="2:17" x14ac:dyDescent="0.3">
      <c r="B35" s="16" t="s">
        <v>11</v>
      </c>
      <c r="C35" s="14"/>
      <c r="D35" s="14">
        <f>5289.6+5121.6+840+6300+12000+3504+3600</f>
        <v>36655.199999999997</v>
      </c>
      <c r="E35" s="14">
        <f>8640+18000+3948+840+6000+4656+4454.4</f>
        <v>46538.400000000001</v>
      </c>
      <c r="F35" s="14">
        <f>8460+6000+624+840+18000+4539.6+15840+6124.8+4368+1281.6+8112+288+12600</f>
        <v>87078</v>
      </c>
      <c r="G35" s="14">
        <f>12408+18000+5846.4+14760+6300+4190.4+1260+6365+468+2349.6</f>
        <v>71947.400000000009</v>
      </c>
      <c r="H35" s="14">
        <v>85446.6</v>
      </c>
      <c r="I35" s="14"/>
      <c r="J35" s="14"/>
      <c r="K35" s="14"/>
      <c r="L35" s="14"/>
      <c r="M35" s="14"/>
      <c r="N35" s="14"/>
      <c r="O35" s="14"/>
      <c r="P35" s="4"/>
      <c r="Q35" s="10">
        <f t="shared" si="3"/>
        <v>327665.59999999998</v>
      </c>
    </row>
    <row r="36" spans="2:17" x14ac:dyDescent="0.3"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4"/>
      <c r="Q36" s="10">
        <f t="shared" si="3"/>
        <v>0</v>
      </c>
    </row>
    <row r="37" spans="2:17" x14ac:dyDescent="0.3">
      <c r="B37" s="40" t="s">
        <v>10</v>
      </c>
      <c r="C37" s="14"/>
      <c r="D37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7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7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7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839996.59000000008</v>
      </c>
    </row>
    <row r="38" spans="2:17" x14ac:dyDescent="0.3">
      <c r="B38" s="41" t="s">
        <v>9</v>
      </c>
      <c r="C38" s="14"/>
      <c r="D38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8" s="14">
        <f>412.05+575.96+761.92+416.28+525.52+342.76+272.04+309.91+643.05+475.2+1034+324.58+167.28+155.69+508.41+274.93+549.82+331.2+379.75+544.31</f>
        <v>9004.659999999998</v>
      </c>
      <c r="F38" s="14">
        <f>355.31+618.88+616.8+572.8+369.28+306.35+264.22+309.92+618.36+474.85+987+348.22+378.46+489.84+167.28+362.4+624.79+385.6+367.04+463.53+604.32</f>
        <v>9685.25</v>
      </c>
      <c r="G38" s="14">
        <f>397.86+698.88+649.78+671.2+596.44+476.99+354.9+264.22+309.92+371.52+474.85+987+348.22+684.77+139.4+489.84+349.9+624.79+285.6+367.04</f>
        <v>9543.1200000000008</v>
      </c>
      <c r="H38" s="14">
        <f>397.86+698.88+649.78+671.2+596.44+476.99+354.9+264.22+309.92+371.52+474.85+987+348.22+684.77+139.4+489.84+349.9+624.79+285.6+367.04</f>
        <v>9543.1200000000008</v>
      </c>
      <c r="I38" s="14"/>
      <c r="J38" s="14"/>
      <c r="K38" s="14"/>
      <c r="L38" s="14"/>
      <c r="M38" s="14"/>
      <c r="N38" s="14"/>
      <c r="O38" s="14"/>
      <c r="P38" s="4"/>
      <c r="Q38" s="10">
        <f t="shared" si="3"/>
        <v>51082.28</v>
      </c>
    </row>
    <row r="39" spans="2:17" x14ac:dyDescent="0.3">
      <c r="B39" s="41" t="s">
        <v>39</v>
      </c>
      <c r="C39" s="14"/>
      <c r="D39" s="14">
        <f>750+3000</f>
        <v>3750</v>
      </c>
      <c r="E39" s="14"/>
      <c r="F39" s="14">
        <f>3000</f>
        <v>3000</v>
      </c>
      <c r="G39" s="14">
        <f>4500+3000</f>
        <v>7500</v>
      </c>
      <c r="H39" s="14"/>
      <c r="I39" s="14"/>
      <c r="J39" s="14"/>
      <c r="K39" s="14"/>
      <c r="L39" s="14"/>
      <c r="M39" s="14"/>
      <c r="N39" s="14"/>
      <c r="O39" s="14"/>
      <c r="P39" s="4"/>
      <c r="Q39" s="10">
        <f t="shared" si="3"/>
        <v>14250</v>
      </c>
    </row>
    <row r="40" spans="2:17" x14ac:dyDescent="0.3">
      <c r="B40" s="41" t="s">
        <v>8</v>
      </c>
      <c r="C40" s="14"/>
      <c r="D40" s="14">
        <f>259+42.96+49.59</f>
        <v>351.54999999999995</v>
      </c>
      <c r="E40" s="14">
        <f>915.99+1797.01+29.2+187.87+1573.3+1589+5092.41+100</f>
        <v>11284.779999999999</v>
      </c>
      <c r="F40" s="14">
        <f>1479+1504</f>
        <v>2983</v>
      </c>
      <c r="G40" s="14">
        <f>1829+138.05+1479+429.99+79.97</f>
        <v>3956.0099999999998</v>
      </c>
      <c r="H40" s="14">
        <v>267.77999999999997</v>
      </c>
      <c r="I40" s="14"/>
      <c r="J40" s="14"/>
      <c r="K40" s="14"/>
      <c r="L40" s="14"/>
      <c r="M40" s="14"/>
      <c r="N40" s="14"/>
      <c r="O40" s="14"/>
      <c r="P40" s="4"/>
      <c r="Q40" s="10">
        <f t="shared" si="3"/>
        <v>18843.119999999995</v>
      </c>
    </row>
    <row r="41" spans="2:17" x14ac:dyDescent="0.3">
      <c r="B41" s="41" t="s">
        <v>42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4"/>
      <c r="Q41" s="10">
        <f t="shared" si="3"/>
        <v>0</v>
      </c>
    </row>
    <row r="42" spans="2:17" x14ac:dyDescent="0.3">
      <c r="B42" s="41" t="s">
        <v>37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42" t="s">
        <v>7</v>
      </c>
      <c r="C44" s="14"/>
      <c r="D44" s="14">
        <v>87282</v>
      </c>
      <c r="E44" s="14">
        <f>92515+5</f>
        <v>92520</v>
      </c>
      <c r="F44" s="14">
        <v>99636</v>
      </c>
      <c r="G44" s="14">
        <v>95113</v>
      </c>
      <c r="H44" s="14">
        <v>97960</v>
      </c>
      <c r="I44" s="14"/>
      <c r="J44" s="14"/>
      <c r="K44" s="14"/>
      <c r="L44" s="14"/>
      <c r="M44" s="14"/>
      <c r="N44" s="14"/>
      <c r="O44" s="14"/>
      <c r="P44" s="4"/>
      <c r="Q44" s="10">
        <f t="shared" si="3"/>
        <v>472511</v>
      </c>
    </row>
    <row r="45" spans="2:17" x14ac:dyDescent="0.3">
      <c r="B45" s="43" t="s">
        <v>6</v>
      </c>
      <c r="C45" s="14"/>
      <c r="D45" s="14">
        <v>32122.63</v>
      </c>
      <c r="E45" s="14">
        <v>33001.03</v>
      </c>
      <c r="F45" s="14">
        <f>35347.28</f>
        <v>35347.279999999999</v>
      </c>
      <c r="G45" s="14">
        <v>33634.25</v>
      </c>
      <c r="H45" s="14">
        <v>33385.949999999997</v>
      </c>
      <c r="I45" s="14"/>
      <c r="J45" s="14"/>
      <c r="K45" s="14"/>
      <c r="L45" s="14"/>
      <c r="M45" s="14"/>
      <c r="N45" s="14"/>
      <c r="O45" s="14"/>
      <c r="P45" s="4"/>
      <c r="Q45" s="10">
        <f t="shared" si="3"/>
        <v>167491.14000000001</v>
      </c>
    </row>
    <row r="46" spans="2:17" x14ac:dyDescent="0.3">
      <c r="B46" s="43" t="s">
        <v>5</v>
      </c>
      <c r="C46" s="14"/>
      <c r="D46" s="14"/>
      <c r="E46" s="14">
        <f>9074.94</f>
        <v>9074.94</v>
      </c>
      <c r="F46" s="14"/>
      <c r="G46" s="14">
        <v>11785.2</v>
      </c>
      <c r="H46" s="14"/>
      <c r="I46" s="14"/>
      <c r="J46" s="14"/>
      <c r="K46" s="14"/>
      <c r="L46" s="14"/>
      <c r="M46" s="14"/>
      <c r="N46" s="14"/>
      <c r="O46" s="14"/>
      <c r="P46" s="4"/>
      <c r="Q46" s="10">
        <f t="shared" si="3"/>
        <v>20860.14</v>
      </c>
    </row>
    <row r="47" spans="2:17" x14ac:dyDescent="0.3">
      <c r="B47" s="43" t="s">
        <v>4</v>
      </c>
      <c r="C47" s="14"/>
      <c r="D47" s="14"/>
      <c r="E47" s="14">
        <v>8770.83</v>
      </c>
      <c r="F47" s="14"/>
      <c r="G47" s="14">
        <v>9419.5499999999993</v>
      </c>
      <c r="H47" s="14"/>
      <c r="I47" s="14"/>
      <c r="J47" s="14"/>
      <c r="K47" s="14"/>
      <c r="L47" s="14"/>
      <c r="M47" s="14"/>
      <c r="N47" s="14"/>
      <c r="O47" s="14"/>
      <c r="P47" s="4"/>
      <c r="Q47" s="10">
        <f t="shared" si="3"/>
        <v>18190.379999999997</v>
      </c>
    </row>
    <row r="48" spans="2:17" ht="15" thickBot="1" x14ac:dyDescent="0.35">
      <c r="B48" s="43" t="s">
        <v>3</v>
      </c>
      <c r="C48" s="14"/>
      <c r="D48" s="14">
        <v>17854</v>
      </c>
      <c r="E48" s="14">
        <v>15233</v>
      </c>
      <c r="F48" s="14">
        <f>16160</f>
        <v>16160</v>
      </c>
      <c r="G48" s="14">
        <v>14536</v>
      </c>
      <c r="H48" s="14">
        <v>14318</v>
      </c>
      <c r="I48" s="14"/>
      <c r="J48" s="14"/>
      <c r="K48" s="14"/>
      <c r="L48" s="14"/>
      <c r="M48" s="14"/>
      <c r="N48" s="14"/>
      <c r="O48" s="14"/>
      <c r="P48" s="4"/>
      <c r="Q48" s="10">
        <f t="shared" si="3"/>
        <v>78101</v>
      </c>
    </row>
    <row r="49" spans="2:17" ht="16.2" thickBot="1" x14ac:dyDescent="0.35">
      <c r="B49" s="9" t="s">
        <v>2</v>
      </c>
      <c r="C49" s="8">
        <f>C17+C48</f>
        <v>0</v>
      </c>
      <c r="D49" s="8">
        <f>SUM(D17:D48)</f>
        <v>481477.75000000006</v>
      </c>
      <c r="E49" s="8">
        <f>SUM(E17:E48)</f>
        <v>544536.39</v>
      </c>
      <c r="F49" s="8">
        <f t="shared" ref="F49:H49" si="4">SUM(F17:F48)</f>
        <v>591609.01</v>
      </c>
      <c r="G49" s="8">
        <f t="shared" si="4"/>
        <v>533043.55000000005</v>
      </c>
      <c r="H49" s="8">
        <f t="shared" si="4"/>
        <v>249647.14</v>
      </c>
      <c r="I49" s="8">
        <f t="shared" ref="I49:O49" si="5">I17+I48</f>
        <v>0</v>
      </c>
      <c r="J49" s="8">
        <f t="shared" si="5"/>
        <v>0</v>
      </c>
      <c r="K49" s="8">
        <f t="shared" si="5"/>
        <v>0</v>
      </c>
      <c r="L49" s="8">
        <f t="shared" si="5"/>
        <v>0</v>
      </c>
      <c r="M49" s="8">
        <f t="shared" si="5"/>
        <v>0</v>
      </c>
      <c r="N49" s="8">
        <f t="shared" si="5"/>
        <v>0</v>
      </c>
      <c r="O49" s="8">
        <f t="shared" si="5"/>
        <v>0</v>
      </c>
      <c r="P49" s="7"/>
      <c r="Q49" s="3">
        <f>+SUM(C49:O49)</f>
        <v>2400313.8400000003</v>
      </c>
    </row>
    <row r="50" spans="2:17" ht="15" thickBot="1" x14ac:dyDescent="0.35">
      <c r="B50" s="6"/>
      <c r="C50" s="5"/>
      <c r="D50" s="5"/>
      <c r="E50" s="5"/>
      <c r="F50" s="5"/>
      <c r="G50" s="5"/>
      <c r="H50" s="5"/>
      <c r="I50" s="5"/>
      <c r="J50" s="5"/>
      <c r="K50" s="5"/>
      <c r="M50" s="5"/>
      <c r="N50" s="5"/>
      <c r="P50" s="4"/>
    </row>
    <row r="51" spans="2:17" ht="15.6" x14ac:dyDescent="0.3">
      <c r="B51" s="67" t="s">
        <v>1</v>
      </c>
      <c r="C51" s="46">
        <f>C14-C49</f>
        <v>99543.81</v>
      </c>
      <c r="D51" s="46">
        <f t="shared" ref="D51:O51" si="6">D14-D49</f>
        <v>183752.73000000004</v>
      </c>
      <c r="E51" s="46">
        <f t="shared" si="6"/>
        <v>-98423.400000000023</v>
      </c>
      <c r="F51" s="46">
        <f t="shared" si="6"/>
        <v>4032.0400000000373</v>
      </c>
      <c r="G51" s="46">
        <f t="shared" si="6"/>
        <v>120474.04999999993</v>
      </c>
      <c r="H51" s="46">
        <f t="shared" si="6"/>
        <v>340536.43999999994</v>
      </c>
      <c r="I51" s="46">
        <f t="shared" si="6"/>
        <v>0</v>
      </c>
      <c r="J51" s="46">
        <f t="shared" si="6"/>
        <v>0</v>
      </c>
      <c r="K51" s="46">
        <f t="shared" si="6"/>
        <v>0</v>
      </c>
      <c r="L51" s="46">
        <f t="shared" si="6"/>
        <v>0</v>
      </c>
      <c r="M51" s="46">
        <f t="shared" si="6"/>
        <v>0</v>
      </c>
      <c r="N51" s="46">
        <f t="shared" si="6"/>
        <v>0</v>
      </c>
      <c r="O51" s="46">
        <f t="shared" si="6"/>
        <v>0</v>
      </c>
      <c r="P51" s="47"/>
      <c r="Q51" s="48">
        <f>Q14-Q49</f>
        <v>649915.66999999993</v>
      </c>
    </row>
    <row r="52" spans="2:17" ht="16.2" thickBot="1" x14ac:dyDescent="0.35">
      <c r="B52" s="68" t="s">
        <v>0</v>
      </c>
      <c r="C52" s="46">
        <f>C51</f>
        <v>99543.81</v>
      </c>
      <c r="D52" s="46">
        <f>D51+C52</f>
        <v>283296.54000000004</v>
      </c>
      <c r="E52" s="46">
        <f>E51+D52</f>
        <v>184873.14</v>
      </c>
      <c r="F52" s="46">
        <f t="shared" ref="F52:O52" si="7">F51+E52</f>
        <v>188905.18000000005</v>
      </c>
      <c r="G52" s="46">
        <f t="shared" si="7"/>
        <v>309379.23</v>
      </c>
      <c r="H52" s="46">
        <f t="shared" si="7"/>
        <v>649915.66999999993</v>
      </c>
      <c r="I52" s="46">
        <f t="shared" si="7"/>
        <v>649915.66999999993</v>
      </c>
      <c r="J52" s="46">
        <f t="shared" si="7"/>
        <v>649915.66999999993</v>
      </c>
      <c r="K52" s="46">
        <f t="shared" si="7"/>
        <v>649915.66999999993</v>
      </c>
      <c r="L52" s="46">
        <f t="shared" si="7"/>
        <v>649915.66999999993</v>
      </c>
      <c r="M52" s="46">
        <f t="shared" si="7"/>
        <v>649915.66999999993</v>
      </c>
      <c r="N52" s="46">
        <f t="shared" si="7"/>
        <v>649915.66999999993</v>
      </c>
      <c r="O52" s="46">
        <f t="shared" si="7"/>
        <v>649915.66999999993</v>
      </c>
      <c r="P52" s="47"/>
      <c r="Q52" s="48"/>
    </row>
  </sheetData>
  <mergeCells count="1">
    <mergeCell ref="B2:C3"/>
  </mergeCells>
  <conditionalFormatting sqref="C51:Q52">
    <cfRule type="cellIs" dxfId="31" priority="1" operator="lessThan">
      <formula>0</formula>
    </cfRule>
    <cfRule type="cellIs" dxfId="30" priority="2" operator="greaterThan">
      <formula>0</formula>
    </cfRule>
  </conditionalFormatting>
  <conditionalFormatting sqref="Q49">
    <cfRule type="cellIs" dxfId="29" priority="3" operator="greaterThan">
      <formula>0</formula>
    </cfRule>
    <cfRule type="cellIs" dxfId="28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ED83-95FE-471F-98F7-9F0E4CEFAFF2}">
  <dimension ref="B1:Q53"/>
  <sheetViews>
    <sheetView zoomScale="89" workbookViewId="0">
      <selection activeCell="B2" sqref="B2:C3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9" width="17.5546875" style="2" bestFit="1" customWidth="1"/>
    <col min="10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65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222867.12000000011</v>
      </c>
      <c r="I2" s="49">
        <f t="shared" si="0"/>
        <v>302987.28000000014</v>
      </c>
      <c r="J2" s="49">
        <f t="shared" si="0"/>
        <v>302987.28000000014</v>
      </c>
      <c r="K2" s="49">
        <f t="shared" si="0"/>
        <v>302987.28000000014</v>
      </c>
      <c r="L2" s="49">
        <f t="shared" si="0"/>
        <v>302987.28000000014</v>
      </c>
      <c r="M2" s="49">
        <f t="shared" si="0"/>
        <v>302987.28000000014</v>
      </c>
      <c r="N2" s="49">
        <f t="shared" si="0"/>
        <v>302987.28000000014</v>
      </c>
      <c r="O2" s="49">
        <f t="shared" si="0"/>
        <v>302987.28000000014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/>
      <c r="J9" s="34"/>
      <c r="K9" s="34"/>
      <c r="L9" s="33"/>
      <c r="M9" s="34"/>
      <c r="N9" s="34"/>
      <c r="O9" s="33"/>
      <c r="P9" s="25"/>
      <c r="Q9" s="58">
        <f>SUM(C9:O9)</f>
        <v>0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v>547958.4</v>
      </c>
      <c r="J11" s="29"/>
      <c r="K11" s="29"/>
      <c r="L11" s="28"/>
      <c r="M11" s="29"/>
      <c r="N11" s="29"/>
      <c r="O11" s="28"/>
      <c r="P11" s="25"/>
      <c r="Q11" s="56">
        <f>SUM(C11:O11)</f>
        <v>3440201.2100000004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/>
      <c r="K12" s="29"/>
      <c r="L12" s="28"/>
      <c r="M12" s="29"/>
      <c r="N12" s="29"/>
      <c r="O12" s="28"/>
      <c r="P12" s="25"/>
      <c r="Q12" s="56">
        <f>SUM(C12:O12)</f>
        <v>12226.17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547958.4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3551971.19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/>
      <c r="K17" s="14"/>
      <c r="L17" s="14"/>
      <c r="M17" s="14"/>
      <c r="N17" s="14"/>
      <c r="O17" s="14"/>
      <c r="P17" s="4"/>
      <c r="Q17" s="10">
        <f t="shared" ref="Q17:Q49" si="3">+SUM(C17:O17)</f>
        <v>18193.829999999984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f>38.36</f>
        <v>38.36</v>
      </c>
      <c r="J18" s="14"/>
      <c r="K18" s="14"/>
      <c r="L18" s="14"/>
      <c r="M18" s="14"/>
      <c r="N18" s="14"/>
      <c r="O18" s="14"/>
      <c r="P18" s="4"/>
      <c r="Q18" s="10">
        <f t="shared" si="3"/>
        <v>230.16000000000003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/>
      <c r="K21" s="14"/>
      <c r="L21" s="14"/>
      <c r="M21" s="14"/>
      <c r="N21" s="14"/>
      <c r="O21" s="14"/>
      <c r="P21" s="4"/>
      <c r="Q21" s="10">
        <f t="shared" si="3"/>
        <v>6614.4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</v>
      </c>
      <c r="J23" s="14"/>
      <c r="K23" s="14"/>
      <c r="L23" s="14"/>
      <c r="M23" s="14"/>
      <c r="N23" s="14"/>
      <c r="O23" s="14"/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/>
      <c r="O25" s="14"/>
      <c r="P25" s="4"/>
      <c r="Q25" s="10">
        <f t="shared" si="3"/>
        <v>10878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/>
      <c r="K26" s="14"/>
      <c r="L26" s="14"/>
      <c r="M26" s="14"/>
      <c r="N26" s="14"/>
      <c r="O26" s="14"/>
      <c r="P26" s="4"/>
      <c r="Q26" s="10">
        <f t="shared" si="3"/>
        <v>1944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3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</f>
        <v>6005.33</v>
      </c>
      <c r="J31" s="14"/>
      <c r="K31" s="14"/>
      <c r="L31" s="14"/>
      <c r="M31" s="14"/>
      <c r="N31" s="14"/>
      <c r="O31" s="14"/>
      <c r="P31" s="4"/>
      <c r="Q31" s="10">
        <f t="shared" si="3"/>
        <v>18390.830000000002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/>
      <c r="J33" s="14"/>
      <c r="K33" s="14"/>
      <c r="L33" s="14"/>
      <c r="M33" s="14"/>
      <c r="N33" s="14"/>
      <c r="O33" s="14"/>
      <c r="P33" s="4"/>
      <c r="Q33" s="10">
        <f t="shared" si="3"/>
        <v>150642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10367</v>
      </c>
      <c r="J34" s="14"/>
      <c r="K34" s="14"/>
      <c r="L34" s="14"/>
      <c r="M34" s="14"/>
      <c r="N34" s="14"/>
      <c r="O34" s="14"/>
      <c r="P34" s="4"/>
      <c r="Q34" s="10">
        <f t="shared" si="3"/>
        <v>320143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23540+43178.4</f>
        <v>66718.399999999994</v>
      </c>
      <c r="J36" s="14"/>
      <c r="K36" s="14"/>
      <c r="L36" s="14"/>
      <c r="M36" s="14"/>
      <c r="N36" s="14"/>
      <c r="O36" s="14"/>
      <c r="P36" s="4"/>
      <c r="Q36" s="10">
        <f t="shared" si="3"/>
        <v>417228.05999999994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</f>
        <v>199151.74000000002</v>
      </c>
      <c r="I38" s="14">
        <v>217231.73</v>
      </c>
      <c r="J38" s="14"/>
      <c r="K38" s="14"/>
      <c r="L38" s="14"/>
      <c r="M38" s="14"/>
      <c r="N38" s="14"/>
      <c r="O38" s="14"/>
      <c r="P38" s="4"/>
      <c r="Q38" s="10">
        <f t="shared" si="3"/>
        <v>1256380.06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v>9000</v>
      </c>
      <c r="J39" s="14"/>
      <c r="K39" s="14"/>
      <c r="L39" s="14"/>
      <c r="M39" s="14"/>
      <c r="N39" s="14"/>
      <c r="O39" s="14"/>
      <c r="P39" s="4"/>
      <c r="Q39" s="10">
        <f t="shared" si="3"/>
        <v>60876.31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/>
      <c r="K40" s="14"/>
      <c r="L40" s="14"/>
      <c r="M40" s="14"/>
      <c r="N40" s="14"/>
      <c r="O40" s="14"/>
      <c r="P40" s="4"/>
      <c r="Q40" s="10">
        <f t="shared" si="3"/>
        <v>14250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/>
      <c r="K41" s="14"/>
      <c r="L41" s="14"/>
      <c r="M41" s="14"/>
      <c r="N41" s="14"/>
      <c r="O41" s="14"/>
      <c r="P41" s="4"/>
      <c r="Q41" s="10">
        <f t="shared" si="3"/>
        <v>23818.879999999994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/>
      <c r="K45" s="14"/>
      <c r="L45" s="14"/>
      <c r="M45" s="14"/>
      <c r="N45" s="14"/>
      <c r="O45" s="14"/>
      <c r="P45" s="4"/>
      <c r="Q45" s="10">
        <f t="shared" si="3"/>
        <v>575606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/>
      <c r="K46" s="14"/>
      <c r="L46" s="14"/>
      <c r="M46" s="14"/>
      <c r="N46" s="14"/>
      <c r="O46" s="14"/>
      <c r="P46" s="4"/>
      <c r="Q46" s="10">
        <f t="shared" si="3"/>
        <v>202968.68000000002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/>
      <c r="K47" s="14"/>
      <c r="L47" s="14"/>
      <c r="M47" s="14"/>
      <c r="N47" s="14"/>
      <c r="O47" s="14"/>
      <c r="P47" s="4"/>
      <c r="Q47" s="10">
        <f t="shared" si="3"/>
        <v>20860.14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/>
      <c r="K48" s="14"/>
      <c r="L48" s="14"/>
      <c r="M48" s="14"/>
      <c r="N48" s="14"/>
      <c r="O48" s="14"/>
      <c r="P48" s="4"/>
      <c r="Q48" s="10">
        <f t="shared" si="3"/>
        <v>18190.379999999997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/>
      <c r="K49" s="14"/>
      <c r="L49" s="14"/>
      <c r="M49" s="14"/>
      <c r="N49" s="14"/>
      <c r="O49" s="14"/>
      <c r="P49" s="4"/>
      <c r="Q49" s="10">
        <f t="shared" si="3"/>
        <v>92718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I50" si="4">SUM(D17:D49)</f>
        <v>481477.75000000006</v>
      </c>
      <c r="E50" s="8">
        <f t="shared" si="4"/>
        <v>544536.39</v>
      </c>
      <c r="F50" s="8">
        <f t="shared" si="4"/>
        <v>591609.01</v>
      </c>
      <c r="G50" s="8">
        <f t="shared" si="4"/>
        <v>533043.55000000005</v>
      </c>
      <c r="H50" s="8">
        <f t="shared" si="4"/>
        <v>630478.97</v>
      </c>
      <c r="I50" s="8">
        <f t="shared" si="4"/>
        <v>467838.24</v>
      </c>
      <c r="J50" s="8">
        <f t="shared" ref="J50:O50" si="5">J17+J49</f>
        <v>0</v>
      </c>
      <c r="K50" s="8">
        <f t="shared" si="5"/>
        <v>0</v>
      </c>
      <c r="L50" s="8">
        <f t="shared" si="5"/>
        <v>0</v>
      </c>
      <c r="M50" s="8">
        <f t="shared" si="5"/>
        <v>0</v>
      </c>
      <c r="N50" s="8">
        <f t="shared" si="5"/>
        <v>0</v>
      </c>
      <c r="O50" s="8">
        <f t="shared" si="5"/>
        <v>0</v>
      </c>
      <c r="P50" s="7"/>
      <c r="Q50" s="3">
        <f>+SUM(C50:O50)</f>
        <v>3248983.91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6">C14-C50</f>
        <v>99543.81</v>
      </c>
      <c r="D52" s="46">
        <f t="shared" si="6"/>
        <v>183752.73000000004</v>
      </c>
      <c r="E52" s="46">
        <f t="shared" si="6"/>
        <v>-98423.400000000023</v>
      </c>
      <c r="F52" s="46">
        <f t="shared" si="6"/>
        <v>4032.0400000000373</v>
      </c>
      <c r="G52" s="46">
        <f t="shared" si="6"/>
        <v>120474.04999999993</v>
      </c>
      <c r="H52" s="46">
        <f t="shared" si="6"/>
        <v>-86512.10999999987</v>
      </c>
      <c r="I52" s="46">
        <f t="shared" si="6"/>
        <v>80120.160000000033</v>
      </c>
      <c r="J52" s="46">
        <f t="shared" si="6"/>
        <v>0</v>
      </c>
      <c r="K52" s="46">
        <f t="shared" si="6"/>
        <v>0</v>
      </c>
      <c r="L52" s="46">
        <f t="shared" si="6"/>
        <v>0</v>
      </c>
      <c r="M52" s="46">
        <f t="shared" si="6"/>
        <v>0</v>
      </c>
      <c r="N52" s="46">
        <f t="shared" si="6"/>
        <v>0</v>
      </c>
      <c r="O52" s="46">
        <f t="shared" si="6"/>
        <v>0</v>
      </c>
      <c r="P52" s="47"/>
      <c r="Q52" s="48">
        <f>Q14-Q50</f>
        <v>302987.2799999998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7">F52+E53</f>
        <v>188905.18000000005</v>
      </c>
      <c r="G53" s="46">
        <f t="shared" si="7"/>
        <v>309379.23</v>
      </c>
      <c r="H53" s="46">
        <f t="shared" si="7"/>
        <v>222867.12000000011</v>
      </c>
      <c r="I53" s="46">
        <f t="shared" si="7"/>
        <v>302987.28000000014</v>
      </c>
      <c r="J53" s="46">
        <f t="shared" si="7"/>
        <v>302987.28000000014</v>
      </c>
      <c r="K53" s="46">
        <f t="shared" si="7"/>
        <v>302987.28000000014</v>
      </c>
      <c r="L53" s="46">
        <f t="shared" si="7"/>
        <v>302987.28000000014</v>
      </c>
      <c r="M53" s="46">
        <f t="shared" si="7"/>
        <v>302987.28000000014</v>
      </c>
      <c r="N53" s="46">
        <f t="shared" si="7"/>
        <v>302987.28000000014</v>
      </c>
      <c r="O53" s="46">
        <f t="shared" si="7"/>
        <v>302987.28000000014</v>
      </c>
      <c r="P53" s="47"/>
      <c r="Q53" s="48"/>
    </row>
  </sheetData>
  <mergeCells count="1">
    <mergeCell ref="B2:C3"/>
  </mergeCells>
  <conditionalFormatting sqref="C52:Q53">
    <cfRule type="cellIs" dxfId="27" priority="1" operator="lessThan">
      <formula>0</formula>
    </cfRule>
    <cfRule type="cellIs" dxfId="26" priority="2" operator="greaterThan">
      <formula>0</formula>
    </cfRule>
  </conditionalFormatting>
  <conditionalFormatting sqref="Q50">
    <cfRule type="cellIs" dxfId="25" priority="3" operator="greaterThan">
      <formula>0</formula>
    </cfRule>
    <cfRule type="cellIs" dxfId="24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B122-8068-4FA5-A76A-398F37841E70}">
  <dimension ref="B1:Q53"/>
  <sheetViews>
    <sheetView topLeftCell="A13" zoomScale="89" workbookViewId="0">
      <selection activeCell="J21" sqref="J21:J23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0" width="17.5546875" style="2" bestFit="1" customWidth="1"/>
    <col min="11" max="11" width="16.4414062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63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168936.30000000005</v>
      </c>
      <c r="K2" s="49">
        <f t="shared" si="0"/>
        <v>168936.30000000005</v>
      </c>
      <c r="L2" s="49">
        <f t="shared" si="0"/>
        <v>168936.30000000005</v>
      </c>
      <c r="M2" s="49">
        <f t="shared" si="0"/>
        <v>168936.30000000005</v>
      </c>
      <c r="N2" s="49">
        <f t="shared" si="0"/>
        <v>168936.30000000005</v>
      </c>
      <c r="O2" s="49">
        <f t="shared" si="0"/>
        <v>168936.30000000005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v>586143</v>
      </c>
      <c r="K11" s="29"/>
      <c r="L11" s="28"/>
      <c r="M11" s="29"/>
      <c r="N11" s="29"/>
      <c r="O11" s="28"/>
      <c r="P11" s="25"/>
      <c r="Q11" s="56">
        <f>SUM(C11:O11)</f>
        <v>3969597.8100000005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/>
      <c r="K12" s="29"/>
      <c r="L12" s="28"/>
      <c r="M12" s="29"/>
      <c r="N12" s="29"/>
      <c r="O12" s="28"/>
      <c r="P12" s="25"/>
      <c r="Q12" s="56">
        <f>SUM(C12:O12)</f>
        <v>12226.17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586143</v>
      </c>
      <c r="K14" s="23">
        <f t="shared" si="1"/>
        <v>0</v>
      </c>
      <c r="L14" s="23">
        <f t="shared" si="1"/>
        <v>0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4085866.79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/>
      <c r="K17" s="14"/>
      <c r="L17" s="14"/>
      <c r="M17" s="14"/>
      <c r="N17" s="14"/>
      <c r="O17" s="14"/>
      <c r="P17" s="4"/>
      <c r="Q17" s="10">
        <f t="shared" ref="Q17:Q49" si="3">+SUM(C17:O17)</f>
        <v>18193.829999999984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/>
      <c r="L18" s="14"/>
      <c r="M18" s="14"/>
      <c r="N18" s="14"/>
      <c r="O18" s="14"/>
      <c r="P18" s="4"/>
      <c r="Q18" s="10">
        <f t="shared" si="3"/>
        <v>268.52000000000004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/>
      <c r="M21" s="14"/>
      <c r="N21" s="14"/>
      <c r="O21" s="14"/>
      <c r="P21" s="4"/>
      <c r="Q21" s="10">
        <f t="shared" si="3"/>
        <v>6742.7999999999993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/>
      <c r="M23" s="14"/>
      <c r="N23" s="14"/>
      <c r="O23" s="14"/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/>
      <c r="O25" s="14"/>
      <c r="P25" s="4"/>
      <c r="Q25" s="10">
        <f t="shared" si="3"/>
        <v>10878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v>432</v>
      </c>
      <c r="K26" s="14"/>
      <c r="L26" s="14"/>
      <c r="M26" s="14"/>
      <c r="N26" s="14"/>
      <c r="O26" s="14"/>
      <c r="P26" s="4"/>
      <c r="Q26" s="10">
        <f t="shared" si="3"/>
        <v>2376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3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/>
      <c r="L31" s="14"/>
      <c r="M31" s="14"/>
      <c r="N31" s="14"/>
      <c r="O31" s="14"/>
      <c r="P31" s="4"/>
      <c r="Q31" s="10">
        <f t="shared" si="3"/>
        <v>19059.89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L33" s="14"/>
      <c r="M33" s="14"/>
      <c r="N33" s="14"/>
      <c r="O33" s="14"/>
      <c r="P33" s="4"/>
      <c r="Q33" s="10">
        <f t="shared" si="3"/>
        <v>161009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/>
      <c r="L34" s="14"/>
      <c r="M34" s="14"/>
      <c r="N34" s="14"/>
      <c r="O34" s="14"/>
      <c r="P34" s="4"/>
      <c r="Q34" s="10">
        <f t="shared" si="3"/>
        <v>457865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L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/>
      <c r="L36" s="14"/>
      <c r="M36" s="14"/>
      <c r="N36" s="14"/>
      <c r="O36" s="14"/>
      <c r="P36" s="4"/>
      <c r="Q36" s="10">
        <f t="shared" si="3"/>
        <v>495566.03999999992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"/>
      <c r="Q37" s="10">
        <f t="shared" si="3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/>
      <c r="L38" s="14"/>
      <c r="M38" s="14"/>
      <c r="N38" s="14"/>
      <c r="O38" s="14"/>
      <c r="P38" s="4"/>
      <c r="Q38" s="10">
        <f t="shared" si="3"/>
        <v>1499341.5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/>
      <c r="L39" s="14"/>
      <c r="M39" s="14"/>
      <c r="N39" s="14"/>
      <c r="O39" s="14"/>
      <c r="P39" s="4"/>
      <c r="Q39" s="10">
        <f t="shared" si="3"/>
        <v>70330.98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/>
      <c r="L40" s="14"/>
      <c r="M40" s="14"/>
      <c r="N40" s="14"/>
      <c r="O40" s="14"/>
      <c r="P40" s="4"/>
      <c r="Q40" s="10">
        <f t="shared" si="3"/>
        <v>15250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/>
      <c r="L41" s="14"/>
      <c r="M41" s="14"/>
      <c r="N41" s="14"/>
      <c r="O41" s="14"/>
      <c r="P41" s="4"/>
      <c r="Q41" s="10">
        <f t="shared" si="3"/>
        <v>31540.889999999992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/>
      <c r="L45" s="14"/>
      <c r="M45" s="14"/>
      <c r="N45" s="14"/>
      <c r="O45" s="14"/>
      <c r="P45" s="4"/>
      <c r="Q45" s="10">
        <f t="shared" si="3"/>
        <v>679056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/>
      <c r="L46" s="14"/>
      <c r="M46" s="14"/>
      <c r="N46" s="14"/>
      <c r="O46" s="14"/>
      <c r="P46" s="4"/>
      <c r="Q46" s="10">
        <f t="shared" si="3"/>
        <v>238413.29000000004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21755.85</v>
      </c>
      <c r="K47" s="14"/>
      <c r="L47" s="14"/>
      <c r="M47" s="14"/>
      <c r="N47" s="14"/>
      <c r="O47" s="14"/>
      <c r="P47" s="4"/>
      <c r="Q47" s="10">
        <f t="shared" si="3"/>
        <v>42615.99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/>
      <c r="K48" s="14"/>
      <c r="L48" s="14"/>
      <c r="M48" s="14"/>
      <c r="N48" s="14"/>
      <c r="O48" s="14"/>
      <c r="P48" s="4"/>
      <c r="Q48" s="10">
        <f t="shared" si="3"/>
        <v>18190.379999999997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/>
      <c r="L49" s="14"/>
      <c r="M49" s="14"/>
      <c r="N49" s="14"/>
      <c r="O49" s="14"/>
      <c r="P49" s="4"/>
      <c r="Q49" s="10">
        <f t="shared" si="3"/>
        <v>108272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J50" si="4">SUM(D17:D49)</f>
        <v>481477.75000000006</v>
      </c>
      <c r="E50" s="8">
        <f t="shared" si="4"/>
        <v>544536.39</v>
      </c>
      <c r="F50" s="8">
        <f t="shared" si="4"/>
        <v>591609.01</v>
      </c>
      <c r="G50" s="8">
        <f t="shared" si="4"/>
        <v>533043.55000000005</v>
      </c>
      <c r="H50" s="8">
        <f t="shared" si="4"/>
        <v>637707.73</v>
      </c>
      <c r="I50" s="8">
        <f t="shared" si="4"/>
        <v>538113.26</v>
      </c>
      <c r="J50" s="8">
        <f t="shared" si="4"/>
        <v>590442.80000000005</v>
      </c>
      <c r="K50" s="8">
        <f t="shared" ref="K50:O50" si="5">K17+K49</f>
        <v>0</v>
      </c>
      <c r="L50" s="8">
        <f t="shared" si="5"/>
        <v>0</v>
      </c>
      <c r="M50" s="8">
        <f t="shared" si="5"/>
        <v>0</v>
      </c>
      <c r="N50" s="8">
        <f t="shared" si="5"/>
        <v>0</v>
      </c>
      <c r="O50" s="8">
        <f t="shared" si="5"/>
        <v>0</v>
      </c>
      <c r="P50" s="7"/>
      <c r="Q50" s="3">
        <f>+SUM(C50:O50)</f>
        <v>3916930.49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6">C14-C50</f>
        <v>99543.81</v>
      </c>
      <c r="D52" s="46">
        <f t="shared" si="6"/>
        <v>183752.73000000004</v>
      </c>
      <c r="E52" s="46">
        <f t="shared" si="6"/>
        <v>-98423.400000000023</v>
      </c>
      <c r="F52" s="46">
        <f t="shared" si="6"/>
        <v>4032.0400000000373</v>
      </c>
      <c r="G52" s="46">
        <f t="shared" si="6"/>
        <v>120474.04999999993</v>
      </c>
      <c r="H52" s="46">
        <f t="shared" si="6"/>
        <v>-93740.869999999879</v>
      </c>
      <c r="I52" s="46">
        <f t="shared" si="6"/>
        <v>-42402.260000000009</v>
      </c>
      <c r="J52" s="46">
        <f t="shared" si="6"/>
        <v>-4299.8000000000466</v>
      </c>
      <c r="K52" s="46">
        <f t="shared" si="6"/>
        <v>0</v>
      </c>
      <c r="L52" s="46">
        <f t="shared" si="6"/>
        <v>0</v>
      </c>
      <c r="M52" s="46">
        <f t="shared" si="6"/>
        <v>0</v>
      </c>
      <c r="N52" s="46">
        <f t="shared" si="6"/>
        <v>0</v>
      </c>
      <c r="O52" s="46">
        <f t="shared" si="6"/>
        <v>0</v>
      </c>
      <c r="P52" s="47"/>
      <c r="Q52" s="48">
        <f>Q14-Q50</f>
        <v>168936.29999999981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7">F52+E53</f>
        <v>188905.18000000005</v>
      </c>
      <c r="G53" s="46">
        <f t="shared" si="7"/>
        <v>309379.23</v>
      </c>
      <c r="H53" s="46">
        <f t="shared" si="7"/>
        <v>215638.3600000001</v>
      </c>
      <c r="I53" s="46">
        <f t="shared" si="7"/>
        <v>173236.10000000009</v>
      </c>
      <c r="J53" s="46">
        <f t="shared" si="7"/>
        <v>168936.30000000005</v>
      </c>
      <c r="K53" s="46">
        <f t="shared" si="7"/>
        <v>168936.30000000005</v>
      </c>
      <c r="L53" s="46">
        <f t="shared" si="7"/>
        <v>168936.30000000005</v>
      </c>
      <c r="M53" s="46">
        <f t="shared" si="7"/>
        <v>168936.30000000005</v>
      </c>
      <c r="N53" s="46">
        <f t="shared" si="7"/>
        <v>168936.30000000005</v>
      </c>
      <c r="O53" s="46">
        <f t="shared" si="7"/>
        <v>168936.30000000005</v>
      </c>
      <c r="P53" s="47"/>
      <c r="Q53" s="48"/>
    </row>
  </sheetData>
  <mergeCells count="1">
    <mergeCell ref="B2:C3"/>
  </mergeCells>
  <conditionalFormatting sqref="C52:Q53">
    <cfRule type="cellIs" dxfId="23" priority="1" operator="lessThan">
      <formula>0</formula>
    </cfRule>
    <cfRule type="cellIs" dxfId="22" priority="2" operator="greaterThan">
      <formula>0</formula>
    </cfRule>
  </conditionalFormatting>
  <conditionalFormatting sqref="Q50">
    <cfRule type="cellIs" dxfId="21" priority="3" operator="greaterThan">
      <formula>0</formula>
    </cfRule>
    <cfRule type="cellIs" dxfId="20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B0FE-6F20-4D2C-90E7-5092214C5806}">
  <dimension ref="B1:Q53"/>
  <sheetViews>
    <sheetView topLeftCell="A15" zoomScale="89" workbookViewId="0">
      <selection activeCell="M38" sqref="M38"/>
    </sheetView>
  </sheetViews>
  <sheetFormatPr baseColWidth="10" defaultColWidth="9.109375" defaultRowHeight="14.4" x14ac:dyDescent="0.3"/>
  <cols>
    <col min="1" max="1" width="4.109375" style="1" customWidth="1"/>
    <col min="2" max="2" width="37.109375" style="1" bestFit="1" customWidth="1"/>
    <col min="3" max="3" width="16.5546875" style="2" customWidth="1"/>
    <col min="4" max="8" width="17.5546875" style="2" bestFit="1" customWidth="1"/>
    <col min="9" max="9" width="20.21875" style="2" customWidth="1"/>
    <col min="10" max="11" width="17.5546875" style="2" bestFit="1" customWidth="1"/>
    <col min="12" max="14" width="15.44140625" style="2" bestFit="1" customWidth="1"/>
    <col min="15" max="15" width="19.5546875" style="2" customWidth="1"/>
    <col min="16" max="16" width="6" bestFit="1" customWidth="1"/>
    <col min="17" max="17" width="15.44140625" style="2" bestFit="1" customWidth="1"/>
    <col min="18" max="16384" width="9.109375" style="1"/>
  </cols>
  <sheetData>
    <row r="1" spans="2:17" x14ac:dyDescent="0.3">
      <c r="B1" s="61" t="s">
        <v>64</v>
      </c>
    </row>
    <row r="2" spans="2:17" ht="18" x14ac:dyDescent="0.3">
      <c r="B2" s="70" t="s">
        <v>53</v>
      </c>
      <c r="C2" s="70"/>
      <c r="D2" s="49">
        <f t="shared" ref="D2:O2" si="0">+D53</f>
        <v>283296.54000000004</v>
      </c>
      <c r="E2" s="49">
        <f t="shared" si="0"/>
        <v>184873.14</v>
      </c>
      <c r="F2" s="49">
        <f t="shared" si="0"/>
        <v>188905.18000000005</v>
      </c>
      <c r="G2" s="49">
        <f t="shared" si="0"/>
        <v>309379.23</v>
      </c>
      <c r="H2" s="49">
        <f t="shared" si="0"/>
        <v>215638.3600000001</v>
      </c>
      <c r="I2" s="49">
        <f t="shared" si="0"/>
        <v>173236.10000000009</v>
      </c>
      <c r="J2" s="49">
        <f t="shared" si="0"/>
        <v>185523.10000000009</v>
      </c>
      <c r="K2" s="49">
        <f t="shared" si="0"/>
        <v>218942.46000000014</v>
      </c>
      <c r="L2" s="49">
        <f t="shared" si="0"/>
        <v>218942.46000000014</v>
      </c>
      <c r="M2" s="49">
        <f t="shared" si="0"/>
        <v>218942.46000000014</v>
      </c>
      <c r="N2" s="49">
        <f t="shared" si="0"/>
        <v>218942.46000000014</v>
      </c>
      <c r="O2" s="49">
        <f t="shared" si="0"/>
        <v>218942.46000000014</v>
      </c>
      <c r="P2" s="2">
        <f>P53</f>
        <v>0</v>
      </c>
    </row>
    <row r="3" spans="2:17" ht="29.4" thickBot="1" x14ac:dyDescent="0.35">
      <c r="B3" s="71"/>
      <c r="C3" s="71"/>
      <c r="D3" s="62"/>
      <c r="E3" s="62"/>
      <c r="F3" s="62"/>
      <c r="G3" s="62"/>
      <c r="H3" s="62"/>
      <c r="I3" s="62"/>
    </row>
    <row r="4" spans="2:17" s="21" customFormat="1" ht="16.2" thickBot="1" x14ac:dyDescent="0.35">
      <c r="B4" s="50" t="s">
        <v>36</v>
      </c>
      <c r="C4" s="51" t="s">
        <v>35</v>
      </c>
      <c r="D4" s="51" t="s">
        <v>43</v>
      </c>
      <c r="E4" s="51" t="s">
        <v>44</v>
      </c>
      <c r="F4" s="51" t="s">
        <v>45</v>
      </c>
      <c r="G4" s="51" t="s">
        <v>46</v>
      </c>
      <c r="H4" s="51" t="s">
        <v>47</v>
      </c>
      <c r="I4" s="51" t="s">
        <v>48</v>
      </c>
      <c r="J4" s="52" t="s">
        <v>49</v>
      </c>
      <c r="K4" s="52" t="s">
        <v>50</v>
      </c>
      <c r="L4" s="53" t="s">
        <v>51</v>
      </c>
      <c r="M4" s="52" t="s">
        <v>34</v>
      </c>
      <c r="N4" s="52" t="s">
        <v>33</v>
      </c>
      <c r="O4" s="53" t="s">
        <v>32</v>
      </c>
      <c r="P4" s="54"/>
      <c r="Q4" s="55" t="s">
        <v>31</v>
      </c>
    </row>
    <row r="5" spans="2:17" ht="16.2" thickBot="1" x14ac:dyDescent="0.35">
      <c r="B5" s="39" t="s">
        <v>30</v>
      </c>
      <c r="C5" s="38"/>
      <c r="D5" s="38"/>
      <c r="E5" s="38"/>
      <c r="F5" s="38"/>
      <c r="G5" s="38"/>
      <c r="H5" s="38"/>
      <c r="I5" s="38"/>
      <c r="J5" s="38"/>
      <c r="K5" s="38"/>
      <c r="L5" s="37"/>
      <c r="M5" s="38"/>
      <c r="N5" s="38"/>
      <c r="O5" s="37"/>
      <c r="P5" s="36"/>
      <c r="Q5" s="35"/>
    </row>
    <row r="6" spans="2:17" x14ac:dyDescent="0.3">
      <c r="B6" s="11" t="s">
        <v>29</v>
      </c>
      <c r="C6" s="29">
        <v>99543.81</v>
      </c>
      <c r="D6" s="29"/>
      <c r="E6" s="28"/>
      <c r="F6" s="29"/>
      <c r="G6" s="29"/>
      <c r="H6" s="28"/>
      <c r="I6" s="29"/>
      <c r="J6" s="29"/>
      <c r="K6" s="29"/>
      <c r="L6" s="28"/>
      <c r="M6" s="29"/>
      <c r="N6" s="29"/>
      <c r="O6" s="28"/>
      <c r="P6" s="25"/>
      <c r="Q6" s="56">
        <f>SUM(C6:O6)</f>
        <v>99543.81</v>
      </c>
    </row>
    <row r="7" spans="2:17" x14ac:dyDescent="0.3">
      <c r="B7" s="15" t="s">
        <v>28</v>
      </c>
      <c r="C7" s="27"/>
      <c r="D7" s="27"/>
      <c r="E7" s="26"/>
      <c r="F7" s="27"/>
      <c r="G7" s="27"/>
      <c r="H7" s="26"/>
      <c r="I7" s="27"/>
      <c r="J7" s="27"/>
      <c r="K7" s="27"/>
      <c r="L7" s="26"/>
      <c r="M7" s="27"/>
      <c r="N7" s="27"/>
      <c r="O7" s="26"/>
      <c r="P7" s="25"/>
      <c r="Q7" s="57">
        <f>SUM(C7:O7)</f>
        <v>0</v>
      </c>
    </row>
    <row r="8" spans="2:17" x14ac:dyDescent="0.3">
      <c r="B8" s="15" t="s">
        <v>27</v>
      </c>
      <c r="C8" s="27"/>
      <c r="D8" s="27"/>
      <c r="E8" s="26"/>
      <c r="F8" s="27"/>
      <c r="G8" s="27"/>
      <c r="H8" s="26"/>
      <c r="I8" s="27"/>
      <c r="J8" s="27"/>
      <c r="K8" s="27"/>
      <c r="L8" s="26"/>
      <c r="M8" s="27"/>
      <c r="N8" s="27"/>
      <c r="O8" s="26"/>
      <c r="P8" s="25"/>
      <c r="Q8" s="57">
        <f>SUM(C8:O8)</f>
        <v>0</v>
      </c>
    </row>
    <row r="9" spans="2:17" ht="15" customHeight="1" x14ac:dyDescent="0.3">
      <c r="B9" s="12" t="s">
        <v>26</v>
      </c>
      <c r="C9" s="34"/>
      <c r="D9" s="34"/>
      <c r="E9" s="33"/>
      <c r="F9" s="34"/>
      <c r="G9" s="34"/>
      <c r="H9" s="33"/>
      <c r="I9" s="34">
        <v>4499</v>
      </c>
      <c r="J9" s="34"/>
      <c r="K9" s="34"/>
      <c r="L9" s="33"/>
      <c r="M9" s="34"/>
      <c r="N9" s="34"/>
      <c r="O9" s="33"/>
      <c r="P9" s="25"/>
      <c r="Q9" s="58">
        <f>SUM(C9:O9)</f>
        <v>4499</v>
      </c>
    </row>
    <row r="10" spans="2:17" ht="1.5" customHeight="1" x14ac:dyDescent="0.3">
      <c r="B10" s="32"/>
      <c r="C10" s="31"/>
      <c r="D10" s="31"/>
      <c r="E10" s="30"/>
      <c r="F10" s="31"/>
      <c r="G10" s="31"/>
      <c r="H10" s="30"/>
      <c r="I10" s="31"/>
      <c r="J10" s="31"/>
      <c r="K10" s="31"/>
      <c r="L10" s="30"/>
      <c r="M10" s="31"/>
      <c r="N10" s="31"/>
      <c r="O10" s="30"/>
      <c r="P10" s="25"/>
      <c r="Q10" s="59"/>
    </row>
    <row r="11" spans="2:17" x14ac:dyDescent="0.3">
      <c r="B11" s="11" t="s">
        <v>25</v>
      </c>
      <c r="C11" s="29"/>
      <c r="D11" s="29">
        <f>12240+16800+12084+15876+12600+11616+14742+12474+10260+12000+10800+13608+6600+13440+11232+12084+7728+13500+11232+25788+6468+13104+6600+13860+18144+12480+1170+9360+1200+12144+13608+15292.8+13482+2400+14820+17640+12528+11628+12996+10260+1080+11100+11040+16416+12960+12000+12084+11232+10008+8316+12210+10560+5520+1080+8640+15120+15120+12480+1986</f>
        <v>664840.80000000005</v>
      </c>
      <c r="E11" s="28">
        <f>6000+9936+13920+12600+7056+12000+11400+12960+15972+12480+24528+13452+11934+2400+10272+15600+15048+10098+15600+12960+10800+10800+6960+12672+5760+12000+12540+18348+10488+13200+14256+11016+7956+10800+15600+11520+15120</f>
        <v>446052</v>
      </c>
      <c r="F11" s="29">
        <f>10080+7728+12528+13338+18081.6+6864+13992+1320+13200+11760+5328+5280+12480+6600+13200+13200+13200+19008+13728+15246+24624+2856+15576+10260+14124+9360+1008+14760+13200+14256+13200+14364+15312+13200+816+12600+1836+1316.4+17160+16800+13464+12096+12600+11040+13608+21384+1584+17418.05+17097+1080+9240+12240</f>
        <v>595641.05000000005</v>
      </c>
      <c r="G11" s="29">
        <f>9576+18547.2+13224+8832+14742+12852+6600+12600+11400+13104+15246+11880+14868+26712+18144+20160+10800+13440+13482+15696+16380+13608+12240+11016+14616+11340+10800+16380+12600+16380+12096+12600+13608+13860+11316+17514+11550+12474+1189.2+14520+14520+6600+12054+13728+12852+15120+11088+18547.2+11016</f>
        <v>653517.6</v>
      </c>
      <c r="H11" s="28">
        <f>9576+14868+15876+14268+14040+10488+8640+20160+12852+10080+8580+15246+12600+13104+26712+982.8+17280+16380+13608+10200+12600+10800+12600+267.78+13482+10800+15120+12000+17640+11040+14178+3876+12000+13608+10404+6534+13689+308.58+15120+10584+11088+14131.2+12240+12540</f>
        <v>532191.3600000001</v>
      </c>
      <c r="I11" s="29">
        <f>14616+9660+15371.2+10560+12096+14868+13500+10800+12600+13104+11220+13860+6600+7056+12168+13068+13482+24024+11340+10080+12600+12240+18144+12852+3888+7488+6480+12600+15990+13680+8280+15012+1080+13860+10584+11340+16780.8+7650+5832+13338+10200+11220</f>
        <v>491212</v>
      </c>
      <c r="J11" s="29">
        <f>12240+11880+11832+12240+9072+17280+7722+9180+11328+10200+4872+20592+9792+10800+11856+14520+14820+20808+14688+11016+11400+5724+11556+14472+11136+11016+12960+11232+14040+17640+1818+10080+11520+15960+13200+10098+11448+10890+11628+15120+13137+12960+12240+16680+1428+9936+6000+13200+11172+1854+13248+11016</f>
        <v>602547</v>
      </c>
      <c r="K11" s="29">
        <f>7056+4320+10260+7656+11700+16698+6360+10920+10212+9600+12480+14160+19200+17280+816+22752+12240+12600+4200+5616+12960+1476+7656+13860+13104+6600+14820+16800+6600+12540+12348+10878+6600+8580+12240+996+14400+6480+13260+6840+13608+4800+5520+10008+447.55+13248+5940+5292+16008+10032+6426+9828+11880+11880</f>
        <v>540081.55000000005</v>
      </c>
      <c r="L11" s="28"/>
      <c r="M11" s="29"/>
      <c r="N11" s="29"/>
      <c r="O11" s="28"/>
      <c r="P11" s="25"/>
      <c r="Q11" s="56">
        <f>SUM(C11:O11)</f>
        <v>4526083.3600000003</v>
      </c>
    </row>
    <row r="12" spans="2:17" x14ac:dyDescent="0.3">
      <c r="B12" s="11" t="s">
        <v>38</v>
      </c>
      <c r="C12" s="29"/>
      <c r="D12" s="29">
        <v>389.68</v>
      </c>
      <c r="E12" s="28">
        <v>60.99</v>
      </c>
      <c r="F12" s="29"/>
      <c r="G12" s="29"/>
      <c r="H12" s="28">
        <f>121.54+11653.96</f>
        <v>11775.5</v>
      </c>
      <c r="I12" s="29"/>
      <c r="J12" s="29">
        <v>624</v>
      </c>
      <c r="K12" s="29"/>
      <c r="L12" s="28"/>
      <c r="M12" s="29"/>
      <c r="N12" s="29"/>
      <c r="O12" s="28"/>
      <c r="P12" s="25"/>
      <c r="Q12" s="56">
        <f>SUM(C12:O12)</f>
        <v>12850.17</v>
      </c>
    </row>
    <row r="13" spans="2:17" ht="15" thickBot="1" x14ac:dyDescent="0.35">
      <c r="B13" s="15" t="s">
        <v>24</v>
      </c>
      <c r="C13" s="27"/>
      <c r="D13" s="27"/>
      <c r="E13" s="26"/>
      <c r="F13" s="27"/>
      <c r="G13" s="27"/>
      <c r="H13" s="26"/>
      <c r="I13" s="27"/>
      <c r="J13" s="27"/>
      <c r="K13" s="27"/>
      <c r="L13" s="26"/>
      <c r="M13" s="27"/>
      <c r="N13" s="27"/>
      <c r="O13" s="26"/>
      <c r="P13" s="25"/>
      <c r="Q13" s="57">
        <f>SUM(C13:O13)</f>
        <v>0</v>
      </c>
    </row>
    <row r="14" spans="2:17" s="21" customFormat="1" ht="16.2" thickBot="1" x14ac:dyDescent="0.35">
      <c r="B14" s="24" t="s">
        <v>23</v>
      </c>
      <c r="C14" s="23">
        <f>C6+C13</f>
        <v>99543.81</v>
      </c>
      <c r="D14" s="23">
        <f>SUM(D6:D13)</f>
        <v>665230.4800000001</v>
      </c>
      <c r="E14" s="23">
        <f>SUM(E6:E13)</f>
        <v>446112.99</v>
      </c>
      <c r="F14" s="23">
        <f t="shared" ref="F14:L14" si="1">SUM(F6:F13)</f>
        <v>595641.05000000005</v>
      </c>
      <c r="G14" s="23">
        <f t="shared" si="1"/>
        <v>653517.6</v>
      </c>
      <c r="H14" s="23">
        <f t="shared" si="1"/>
        <v>543966.8600000001</v>
      </c>
      <c r="I14" s="23">
        <f t="shared" si="1"/>
        <v>495711</v>
      </c>
      <c r="J14" s="23">
        <f t="shared" si="1"/>
        <v>603171</v>
      </c>
      <c r="K14" s="23">
        <f t="shared" si="1"/>
        <v>540081.55000000005</v>
      </c>
      <c r="L14" s="23">
        <f t="shared" si="1"/>
        <v>0</v>
      </c>
      <c r="M14" s="23">
        <f t="shared" ref="M14:O14" si="2">M6+M13</f>
        <v>0</v>
      </c>
      <c r="N14" s="23">
        <f t="shared" si="2"/>
        <v>0</v>
      </c>
      <c r="O14" s="23">
        <f t="shared" si="2"/>
        <v>0</v>
      </c>
      <c r="P14" s="22"/>
      <c r="Q14" s="60">
        <f>SUM(C14:O14)</f>
        <v>4642976.34</v>
      </c>
    </row>
    <row r="15" spans="2:17" ht="15" thickBot="1" x14ac:dyDescent="0.35"/>
    <row r="16" spans="2:17" ht="16.2" thickBot="1" x14ac:dyDescent="0.35">
      <c r="B16" s="20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63"/>
    </row>
    <row r="17" spans="2:17" x14ac:dyDescent="0.3">
      <c r="B17" s="18" t="s">
        <v>21</v>
      </c>
      <c r="C17" s="14"/>
      <c r="D17" s="14">
        <f>40.8+7.2+0.3+0.3+0.3+0.3+0.3+0.3+0.3+0.3+0.3+0.3+2+0.3+0.3+0.3+0.3+0.3+0.3+0.3+2904+0.3+0.3+0.3+0.3+381.83+0.3+0.3+0.3+0.3+0.3+0.3+0.3+0.3+0.3+0.3+0.3+0.3+0.3+0.3+0.3+0.3+0.3+0.3+0.3+0.3+0.3+0.3+0.3+0.3+0.3+0.3+0.3+0.3+0.3+0.3+0.3+0.3+0.3+0.3+0.3+0.3+0.3+0.3+0.3+0.3+0.3+0.3+0.3+0.3+0.3+0.3+0.3+0.3+0.3+0.3+0.3+0.3+0.3+0.3+0.3+0.3+0.3+0.3</f>
        <v>3359.5300000000111</v>
      </c>
      <c r="E17" s="14">
        <f>7.2+2+0.3+0.3+0.3+0.3+0.3+0.3+0.3+0.3+0.3+0.3+0.3+0.3+0.3+0.3+0.3+0.3+0.3+0.3+0.3</f>
        <v>14.900000000000013</v>
      </c>
      <c r="F17" s="14">
        <f>7.2+0.98+2+462.84+13200+0.07+0.3+0.3+0.3+0.3+0.3+0.3+0.3+0.3+0.3+0.3+0.3+0.3+0.3+0.3+0.3+0.3+0.3+0.3+0.3+0.3+0.3+0.3+0.3+0.3+0.3+0.3+0.3+0.3+0.3+0.3+0.3+0.3+0.3+0.3+0.3</f>
        <v>13683.589999999975</v>
      </c>
      <c r="G17" s="14">
        <f>7.2+3.15+2+0.3+0.3+0.3+0.3+0.3+0.3+0.3+0.3+0.3+0.3+0.3+0.3+0.3+0.3+0.3+0.3+0.3+0.3+0.3+0.3+0.3+0.3+0.3+0.3+0.3+0.3+0.3+0.3+0.3+0.3+0.3+0.3+0.3+0.3+0.3</f>
        <v>22.850000000000023</v>
      </c>
      <c r="H17" s="14">
        <f>7.2+121.54+111.13+601.55+92.62</f>
        <v>934.04</v>
      </c>
      <c r="I17" s="14">
        <f>7.2+81.05+88.67+2</f>
        <v>178.92000000000002</v>
      </c>
      <c r="J17" s="14">
        <f>7.2+2</f>
        <v>9.1999999999999993</v>
      </c>
      <c r="K17" s="14">
        <f>7.2</f>
        <v>7.2</v>
      </c>
      <c r="L17" s="14"/>
      <c r="M17" s="14"/>
      <c r="N17" s="14"/>
      <c r="O17" s="14"/>
      <c r="P17" s="4"/>
      <c r="Q17" s="10">
        <f t="shared" ref="Q17:Q49" si="3">+SUM(C17:O17)</f>
        <v>18210.229999999985</v>
      </c>
    </row>
    <row r="18" spans="2:17" x14ac:dyDescent="0.3">
      <c r="B18" s="17" t="s">
        <v>20</v>
      </c>
      <c r="C18" s="14"/>
      <c r="D18" s="14">
        <v>38.36</v>
      </c>
      <c r="E18" s="14">
        <v>38.36</v>
      </c>
      <c r="F18" s="14"/>
      <c r="G18" s="14">
        <f>38.36+38.36</f>
        <v>76.72</v>
      </c>
      <c r="H18" s="14">
        <f>38.36</f>
        <v>38.36</v>
      </c>
      <c r="I18" s="14">
        <v>38.36</v>
      </c>
      <c r="J18" s="14">
        <v>38.36</v>
      </c>
      <c r="K18" s="14"/>
      <c r="L18" s="14"/>
      <c r="M18" s="14"/>
      <c r="N18" s="14"/>
      <c r="O18" s="14"/>
      <c r="P18" s="4"/>
      <c r="Q18" s="10">
        <f t="shared" si="3"/>
        <v>268.52000000000004</v>
      </c>
    </row>
    <row r="19" spans="2:17" x14ac:dyDescent="0.3">
      <c r="B19" s="17" t="s">
        <v>52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4"/>
      <c r="Q19" s="10">
        <f t="shared" si="3"/>
        <v>0</v>
      </c>
    </row>
    <row r="20" spans="2:17" x14ac:dyDescent="0.3">
      <c r="B20" s="17" t="s">
        <v>56</v>
      </c>
      <c r="C20" s="14"/>
      <c r="D20" s="14"/>
      <c r="E20" s="14"/>
      <c r="F20" s="14">
        <v>1825.2</v>
      </c>
      <c r="G20" s="14"/>
      <c r="H20" s="14"/>
      <c r="I20" s="14"/>
      <c r="J20" s="14"/>
      <c r="K20" s="14"/>
      <c r="L20" s="14"/>
      <c r="M20" s="14"/>
      <c r="N20" s="14"/>
      <c r="O20" s="14"/>
      <c r="P20" s="4"/>
      <c r="Q20" s="10"/>
    </row>
    <row r="21" spans="2:17" x14ac:dyDescent="0.3">
      <c r="B21" s="17" t="s">
        <v>40</v>
      </c>
      <c r="C21" s="14"/>
      <c r="D21" s="14">
        <v>648</v>
      </c>
      <c r="E21" s="14">
        <v>60</v>
      </c>
      <c r="F21" s="14">
        <f>5264.4</f>
        <v>5264.4</v>
      </c>
      <c r="G21" s="14">
        <v>256.8</v>
      </c>
      <c r="H21" s="14"/>
      <c r="I21" s="14">
        <v>385.2</v>
      </c>
      <c r="J21" s="14">
        <f>128.4</f>
        <v>128.4</v>
      </c>
      <c r="K21" s="14"/>
      <c r="L21" s="14"/>
      <c r="M21" s="14"/>
      <c r="N21" s="14"/>
      <c r="O21" s="14"/>
      <c r="P21" s="4"/>
      <c r="Q21" s="10">
        <f t="shared" si="3"/>
        <v>6742.7999999999993</v>
      </c>
    </row>
    <row r="22" spans="2:17" x14ac:dyDescent="0.3">
      <c r="B22" s="17" t="s">
        <v>19</v>
      </c>
      <c r="C22" s="14"/>
      <c r="D22" s="14"/>
      <c r="E22" s="14">
        <v>9380.8799999999992</v>
      </c>
      <c r="F22" s="14">
        <v>6766.61</v>
      </c>
      <c r="G22" s="14">
        <f>5716.11</f>
        <v>5716.11</v>
      </c>
      <c r="H22" s="14"/>
      <c r="I22" s="14"/>
      <c r="J22" s="14"/>
      <c r="K22" s="14"/>
      <c r="L22" s="14"/>
      <c r="M22" s="14"/>
      <c r="N22" s="14"/>
      <c r="O22" s="14"/>
      <c r="P22" s="4"/>
      <c r="Q22" s="10">
        <f t="shared" si="3"/>
        <v>21863.599999999999</v>
      </c>
    </row>
    <row r="23" spans="2:17" x14ac:dyDescent="0.3">
      <c r="B23" s="17" t="s">
        <v>62</v>
      </c>
      <c r="C23" s="14"/>
      <c r="D23" s="14"/>
      <c r="E23" s="14"/>
      <c r="F23" s="14"/>
      <c r="G23" s="14"/>
      <c r="H23" s="14">
        <f>3200</f>
        <v>3200</v>
      </c>
      <c r="I23" s="14">
        <v>2909.1</v>
      </c>
      <c r="J23" s="14">
        <v>2909.1</v>
      </c>
      <c r="K23" s="14"/>
      <c r="L23" s="14"/>
      <c r="M23" s="14"/>
      <c r="N23" s="14"/>
      <c r="O23" s="14"/>
      <c r="P23" s="4"/>
      <c r="Q23" s="10"/>
    </row>
    <row r="24" spans="2:17" x14ac:dyDescent="0.3">
      <c r="B24" s="17" t="s">
        <v>58</v>
      </c>
      <c r="C24" s="14"/>
      <c r="D24" s="14"/>
      <c r="E24" s="14"/>
      <c r="F24" s="14"/>
      <c r="G24" s="14">
        <v>1405.38</v>
      </c>
      <c r="H24" s="14"/>
      <c r="I24" s="14"/>
      <c r="J24" s="14"/>
      <c r="K24" s="14"/>
      <c r="L24" s="14"/>
      <c r="M24" s="14"/>
      <c r="N24" s="14"/>
      <c r="O24" s="14"/>
      <c r="P24" s="4"/>
      <c r="Q24" s="10"/>
    </row>
    <row r="25" spans="2:17" x14ac:dyDescent="0.3">
      <c r="B25" s="17" t="s">
        <v>18</v>
      </c>
      <c r="C25" s="14"/>
      <c r="D25" s="14"/>
      <c r="E25" s="14"/>
      <c r="F25" s="14"/>
      <c r="G25" s="14"/>
      <c r="H25" s="14">
        <f>2077.2+90+8542.8+168</f>
        <v>10878</v>
      </c>
      <c r="I25" s="14"/>
      <c r="J25" s="14"/>
      <c r="K25" s="14"/>
      <c r="L25" s="14"/>
      <c r="M25" s="14"/>
      <c r="N25" s="14"/>
      <c r="O25" s="14"/>
      <c r="P25" s="4"/>
      <c r="Q25" s="10">
        <f t="shared" si="3"/>
        <v>10878</v>
      </c>
    </row>
    <row r="26" spans="2:17" x14ac:dyDescent="0.3">
      <c r="B26" s="17" t="s">
        <v>17</v>
      </c>
      <c r="C26" s="14"/>
      <c r="D26" s="14">
        <v>324</v>
      </c>
      <c r="E26" s="14">
        <v>324</v>
      </c>
      <c r="F26" s="14">
        <v>324</v>
      </c>
      <c r="G26" s="14">
        <v>324</v>
      </c>
      <c r="H26" s="14">
        <v>324</v>
      </c>
      <c r="I26" s="14">
        <v>324</v>
      </c>
      <c r="J26" s="14">
        <f>432+432</f>
        <v>864</v>
      </c>
      <c r="K26" s="14"/>
      <c r="L26" s="14"/>
      <c r="M26" s="14"/>
      <c r="N26" s="14"/>
      <c r="O26" s="14"/>
      <c r="P26" s="4"/>
      <c r="Q26" s="10">
        <f t="shared" si="3"/>
        <v>2808</v>
      </c>
    </row>
    <row r="27" spans="2:17" x14ac:dyDescent="0.3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4"/>
      <c r="Q27" s="10">
        <f t="shared" si="3"/>
        <v>0</v>
      </c>
    </row>
    <row r="28" spans="2:17" x14ac:dyDescent="0.3">
      <c r="B28" s="44" t="s">
        <v>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4"/>
      <c r="Q28" s="10">
        <f t="shared" si="3"/>
        <v>0</v>
      </c>
    </row>
    <row r="29" spans="2:17" x14ac:dyDescent="0.3">
      <c r="B29" s="45" t="s">
        <v>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4"/>
      <c r="Q29" s="10">
        <f t="shared" si="3"/>
        <v>0</v>
      </c>
    </row>
    <row r="30" spans="2:17" x14ac:dyDescent="0.3">
      <c r="B30" s="45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4"/>
      <c r="Q30" s="10">
        <f t="shared" si="3"/>
        <v>0</v>
      </c>
    </row>
    <row r="31" spans="2:17" ht="15" customHeight="1" x14ac:dyDescent="0.3">
      <c r="B31" s="45" t="s">
        <v>14</v>
      </c>
      <c r="C31" s="14"/>
      <c r="D31" s="14">
        <f>108.34+5.04+828.65+337+14.4+9.34+60+244.98+412.56+414.97+82.7+349.56</f>
        <v>2867.5399999999995</v>
      </c>
      <c r="E31" s="14">
        <f>1.28+2047+14.4+61.2+94.9</f>
        <v>2218.7800000000002</v>
      </c>
      <c r="F31" s="14">
        <f>5.14+672.18+292.7+352.8+6.71+97.46+22.99+468+14.4+3.33+7.18+3467.9</f>
        <v>5410.79</v>
      </c>
      <c r="G31" s="14">
        <f>40.5+31.15+22.99+157.05+14.4+12.19+12.19+33.3+10.5+188.4+930+28.27+57.46+35.7</f>
        <v>1574.1000000000001</v>
      </c>
      <c r="H31" s="14">
        <f>11.56+114.91+22.99+36.2+14.4+2+73.4+23.88+6.15+3.4+5.4</f>
        <v>314.28999999999996</v>
      </c>
      <c r="I31" s="14">
        <f>9.35+44.88+22.99+1119+14.4+4724+13.25+57.46+23.88</f>
        <v>6029.21</v>
      </c>
      <c r="J31" s="14">
        <f>446.18+62.93+22.99+45.96+14.4+28.84+23.88</f>
        <v>645.18000000000006</v>
      </c>
      <c r="K31" s="14">
        <f>9.6+58.92</f>
        <v>68.52</v>
      </c>
      <c r="L31" s="14"/>
      <c r="M31" s="14"/>
      <c r="N31" s="14"/>
      <c r="O31" s="14"/>
      <c r="P31" s="4"/>
      <c r="Q31" s="10">
        <f t="shared" si="3"/>
        <v>19128.41</v>
      </c>
    </row>
    <row r="32" spans="2:17" ht="15" customHeight="1" x14ac:dyDescent="0.3">
      <c r="B32" s="1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4"/>
      <c r="Q32" s="10">
        <f t="shared" si="3"/>
        <v>0</v>
      </c>
    </row>
    <row r="33" spans="2:17" x14ac:dyDescent="0.3">
      <c r="B33" s="16" t="s">
        <v>13</v>
      </c>
      <c r="C33" s="14"/>
      <c r="D33" s="14">
        <v>78820</v>
      </c>
      <c r="E33" s="14"/>
      <c r="F33" s="14">
        <v>71822</v>
      </c>
      <c r="G33" s="14"/>
      <c r="H33" s="14"/>
      <c r="I33" s="14">
        <v>10367</v>
      </c>
      <c r="J33" s="14"/>
      <c r="K33" s="14"/>
      <c r="L33" s="14"/>
      <c r="M33" s="14"/>
      <c r="N33" s="14"/>
      <c r="O33" s="14"/>
      <c r="P33" s="4"/>
      <c r="Q33" s="10">
        <f t="shared" si="3"/>
        <v>161009</v>
      </c>
    </row>
    <row r="34" spans="2:17" x14ac:dyDescent="0.3">
      <c r="B34" s="16" t="s">
        <v>12</v>
      </c>
      <c r="C34" s="14"/>
      <c r="D34" s="14"/>
      <c r="E34" s="14">
        <v>107757</v>
      </c>
      <c r="F34" s="14">
        <v>4765</v>
      </c>
      <c r="G34" s="14">
        <v>57508</v>
      </c>
      <c r="H34" s="14">
        <v>139746</v>
      </c>
      <c r="I34" s="14">
        <v>72458</v>
      </c>
      <c r="J34" s="14">
        <v>75631</v>
      </c>
      <c r="K34" s="14">
        <v>60504</v>
      </c>
      <c r="M34" s="14"/>
      <c r="N34" s="14"/>
      <c r="O34" s="14"/>
      <c r="P34" s="4"/>
      <c r="Q34" s="10">
        <f t="shared" si="3"/>
        <v>518369</v>
      </c>
    </row>
    <row r="35" spans="2:17" x14ac:dyDescent="0.3">
      <c r="B35" s="16" t="s">
        <v>60</v>
      </c>
      <c r="C35" s="14"/>
      <c r="D35" s="14"/>
      <c r="E35" s="14"/>
      <c r="F35" s="14"/>
      <c r="G35" s="14"/>
      <c r="H35" s="14">
        <v>7848</v>
      </c>
      <c r="I35" s="14"/>
      <c r="J35" s="14"/>
      <c r="K35" s="14"/>
      <c r="M35" s="14"/>
      <c r="N35" s="14"/>
      <c r="O35" s="14"/>
      <c r="P35" s="4"/>
      <c r="Q35" s="10"/>
    </row>
    <row r="36" spans="2:17" x14ac:dyDescent="0.3">
      <c r="B36" s="16" t="s">
        <v>11</v>
      </c>
      <c r="C36" s="14"/>
      <c r="D36" s="14">
        <f>5289.6+5121.6+840+6300+12000+3504+3600</f>
        <v>36655.199999999997</v>
      </c>
      <c r="E36" s="14">
        <f>8640+18000+3948+840+6000+4656+4454.4</f>
        <v>46538.400000000001</v>
      </c>
      <c r="F36" s="14">
        <f>8460+6000+624+840+18000+4539.6+15840+6124.8+4368+1281.6+8112+288+12600</f>
        <v>87078</v>
      </c>
      <c r="G36" s="14">
        <f>12408+18000+5846.4+14760+6300+4190.4+1260+6365+468+2349.6</f>
        <v>71947.400000000009</v>
      </c>
      <c r="H36" s="14">
        <f>10800+15120+11844+4423.2+6000+840+432+8112+2189.4+5846.4+11653.96+10612.18+8736+11681.52</f>
        <v>108290.65999999999</v>
      </c>
      <c r="I36" s="14">
        <f>2242.8+10800+11844+504+420+4888.8+840+6300+546+5011.2+10139.36+11154.82+8736</f>
        <v>73426.98</v>
      </c>
      <c r="J36" s="14">
        <f>12240+11280+1815.6+504+420+6000+840+4190.4+5846.4+1482+10608+5603+10800</f>
        <v>71629.399999999994</v>
      </c>
      <c r="K36" s="14">
        <f>10800+1922.4+612+5400+840+3957.6+420+1560+9588+12960+5289.6+14400</f>
        <v>67749.600000000006</v>
      </c>
      <c r="M36" s="14"/>
      <c r="N36" s="14"/>
      <c r="O36" s="14"/>
      <c r="P36" s="4"/>
      <c r="Q36" s="10">
        <f t="shared" si="3"/>
        <v>563315.6399999999</v>
      </c>
    </row>
    <row r="37" spans="2:17" x14ac:dyDescent="0.3">
      <c r="B37" s="15"/>
      <c r="C37" s="14"/>
      <c r="D37" s="14"/>
      <c r="E37" s="14"/>
      <c r="F37" s="14"/>
      <c r="G37" s="14"/>
      <c r="H37" s="14"/>
      <c r="I37" s="14"/>
      <c r="J37" s="14"/>
      <c r="K37" s="14"/>
      <c r="M37" s="14"/>
      <c r="N37" s="14"/>
      <c r="O37" s="14"/>
      <c r="P37" s="4"/>
      <c r="Q37" s="10">
        <f t="shared" si="3"/>
        <v>0</v>
      </c>
    </row>
    <row r="38" spans="2:17" x14ac:dyDescent="0.3">
      <c r="B38" s="40" t="s">
        <v>10</v>
      </c>
      <c r="C38" s="14"/>
      <c r="D38" s="14">
        <f>5961.04+5760.33+5284.11+4661.52+4863.34+4766.91+4394.72+4679.32+5854.5+4831.84+7054.68+1007.99+5044.82+4429.13+4822.44+5013.31+5111.44+5603.86+5108.69+5674.89+5259.2+5123.6+3544.74+5595.92+4160.66+4609.16+4453.16+5205.29+5568.03+6201.74+4794.01+4979.43+4500.85+4955.87+2990.66+1956.21+3972.35+4558.09+5298.63+6162.44+5678.14+4601.75</f>
        <v>204098.81000000003</v>
      </c>
      <c r="E38" s="14">
        <f>502.85+486.45+6961.04+5760.33+5284.11+4661.52+4558.09+4863.34+7279.49+4766.91+5854.5+4831.84+4160.66+4609.16+4623.16+5205.29+7571.51+5044.82+5568.03+6201.74+4794.01+4429.13+4822.44+5298.63+4979.43+4500.85+4455.87+6162.44+2629.75+5603.86+5108.69+4733.56+5674.89+5259.2+5123.6+4980.15+5912.11+5559.05+4814.19+5678.14</f>
        <v>199314.83</v>
      </c>
      <c r="F38" s="14">
        <f>5595.92+3376.84+5912.17+5473.93+90.07+6961.04+5760.33+5284.11+4661.52+4558.09+5259.2+3837.18+4427.12+4766.91+7279.49+4644.59+5854.5+4160.66+4609.16+4623.16+5205.29+7571.51+5044.82+6034.95+5139.99+4429.13+4822.44+5298.63+4979.43+4500.85+4455.87+6162.44+4374.14+5559.05+4954.78+5108.69+4910.07+5123.6+3958.46+4980.15+5912.11+6201.74+5678.14+5674.89+4640.73</f>
        <v>227857.89000000004</v>
      </c>
      <c r="G38" s="14">
        <f>4178.25+6961.04+5284.11+4661.52+4558.09+5259.2+5123.6+4766.91+7279.49+4980.15+4644.59+4160.66+4623.16+5205.29+5912.11+7571.51+6034.95+5139.99+4429.13+4822.44+5298.63+4979.43+4500.85+6162.44+4374.14+4910.07+5674.89+5678.14+4722.33+2757.14+3641.54+4863.34+5251.6+3065.06+4630.2+3826.14+6201.74+4455.87+4580.43+4103.29+5543.52+3908.08</f>
        <v>208725.06000000003</v>
      </c>
      <c r="H38" s="14">
        <f>5139.99+5284.11+4661.52+5123.6+2757.14+4863.34+4766.91+7253.21+4980.15+5251.6+4644.59+4160.66+4630.2+4623.16+5205.29+5842.46+6034.95+6201.74+4822.44+5298.63+4979.43+4500.85+4455.87+6162.44+4374.14+4910.07+5678.14+5674.89+6355.86+5760.33+5603.71+5498.07+4962.17+4141.21+5064.3+5317.16+4558.09+4500.63+5108.69+7228.76</f>
        <v>206380.50000000003</v>
      </c>
      <c r="I38" s="14">
        <f>4700.06+4455.87+5284.11+5421.73+5729.81+4661.52+4482.95+6668.18+5123.6+4603.71+2757.14+4733.05+4766.91+5251.6+3279+4644.59+4160.66+4630.2+4623.16+5204.58+7571.51+5710.68+1897.47+6034.95+6201.74+5139.99+4500.63+4822.44+5275.2+4979.43+4500.85+6162.44+4374.14+5559.05+5064.3+5543.52+4910.07+5108.69+5385.93+4980.15+7089.56+2581.04</f>
        <v>208576.21</v>
      </c>
      <c r="J38" s="14">
        <f>5665.79+3154.82+6125.94+5259.2+3154.82+5421.73+5658.36+5240.61+4580.23+4603.27+5231.74+4603.71+2757.14+4796.2+4668.52+3656.53+5879.07+2304.66+6582.68+2180.21+4630.2+5574.09+5078.92+5710.68+6034.95+5267.66+2431.17+4789.99+5158.47+3154.82+3979.43+4500.85+6162.44+4374.14+5309.68+5108.69+4910.07+6668.18+5123.6+7046.44+6201.74+4509.04+3914.98+4021.16+5531.08+5314.33+8589.75+5498.07+6057.69+2210.66</f>
        <v>244388.2</v>
      </c>
      <c r="K38" s="14">
        <f>2685.31+5247.35+5196.46+4360.65+2747.14+2757.14+4521.55+4604.76+7089.56+5498.07+4644.59+4630.2+5570.28+5078.92+5710.68+5706.2+6034.95+6258.03+4888.08+5158.47+4427.41+4979.43+4662.01+6162.44+4374.14+2785.18+4952.62+5317.16+5108.69+4900.99+5314.33+6668.18+4503.12+5658.36+4408.7+5123.6+4810.64+5334.76+5101.44+4631.17+3101.09+5531.08+5616</f>
        <v>211860.92999999996</v>
      </c>
      <c r="M38" s="14"/>
      <c r="N38" s="14"/>
      <c r="O38" s="14"/>
      <c r="P38" s="4"/>
      <c r="Q38" s="10">
        <f t="shared" si="3"/>
        <v>1711202.43</v>
      </c>
    </row>
    <row r="39" spans="2:17" x14ac:dyDescent="0.3">
      <c r="B39" s="41" t="s">
        <v>9</v>
      </c>
      <c r="C39" s="14"/>
      <c r="D39" s="14">
        <f>649.78+698.88+419.87+596.44+354.9+476.99+127.26+309.92+396.21+474.85+389.68+893+348.22+153.34+489.84+331.67+362.4+372+288.5+483.72+986.89+79.97+991.36+436.46+109.49+197.47+8.4+24.48+776.44+273.63+156.52+250.05+397.5</f>
        <v>13306.129999999997</v>
      </c>
      <c r="E39" s="14">
        <f>412.05+575.96+761.92+416.28+525.52+342.76+272.04+309.91+643.05+475.2+1034+324.58+167.28+155.69+508.41+274.93+549.82+331.2+379.75+544.31</f>
        <v>9004.659999999998</v>
      </c>
      <c r="F39" s="14">
        <f>355.31+618.88+616.8+572.8+369.28+306.35+264.22+309.92+618.36+474.85+987+348.22+378.46+489.84+167.28+362.4+624.79+385.6+367.04+463.53+604.32</f>
        <v>9685.25</v>
      </c>
      <c r="G39" s="14">
        <f>397.86+698.88+649.78+671.2+596.44+476.99+354.9+264.22+309.92+371.52+474.85+987+348.22+684.77+139.4+489.84+349.9+624.79+285.6+367.04</f>
        <v>9543.1200000000008</v>
      </c>
      <c r="H39" s="14">
        <f>397.86+667.36+671.2+649.78+572.8+224.95+297.47+342.76+264.22+159.98+596.44+445.58+492.7+987+206.38+684.77+139.4+489.84+349.9+374.89+331.2+367.04+623.63</f>
        <v>10337.15</v>
      </c>
      <c r="I39" s="14">
        <f>323.47+571.24+525.52+589.6+439.15+333.38+245.66+232.94+299.92+501.88+569+421.3+846+324.58+601.23+153.34+267.08+337.41+549.82+304+303.46</f>
        <v>8739.98</v>
      </c>
      <c r="J39" s="14">
        <f>623.6+453.6+572.8+457+342.76+256.4+299.92+360.04+519.63+457+940+312.76+656.92+153.34+471.28+349.9+599.8+317.6+354.32+383.68+266+326.94+239.4</f>
        <v>9714.69</v>
      </c>
      <c r="K39" s="14">
        <f>426.23+623.6+305.9+562.4+194.56+510.55+184.97+279.86+329.91+346.84+492.7+1081+740.46+371.86+139.4+489.84+374.89+239.59+344.8+392.47</f>
        <v>8431.83</v>
      </c>
      <c r="M39" s="14"/>
      <c r="N39" s="14"/>
      <c r="O39" s="14"/>
      <c r="P39" s="4"/>
      <c r="Q39" s="10">
        <f t="shared" si="3"/>
        <v>78762.81</v>
      </c>
    </row>
    <row r="40" spans="2:17" x14ac:dyDescent="0.3">
      <c r="B40" s="41" t="s">
        <v>39</v>
      </c>
      <c r="C40" s="14"/>
      <c r="D40" s="14">
        <f>750+3000</f>
        <v>3750</v>
      </c>
      <c r="E40" s="14"/>
      <c r="F40" s="14">
        <f>3000</f>
        <v>3000</v>
      </c>
      <c r="G40" s="14">
        <f>4500+3000</f>
        <v>7500</v>
      </c>
      <c r="H40" s="14"/>
      <c r="I40" s="14"/>
      <c r="J40" s="14">
        <v>1000</v>
      </c>
      <c r="K40" s="14">
        <f>700</f>
        <v>700</v>
      </c>
      <c r="M40" s="14"/>
      <c r="N40" s="14"/>
      <c r="O40" s="14"/>
      <c r="P40" s="4"/>
      <c r="Q40" s="10">
        <f t="shared" si="3"/>
        <v>15950</v>
      </c>
    </row>
    <row r="41" spans="2:17" x14ac:dyDescent="0.3">
      <c r="B41" s="41" t="s">
        <v>8</v>
      </c>
      <c r="C41" s="14"/>
      <c r="D41" s="14">
        <f>259+42.96+49.59</f>
        <v>351.54999999999995</v>
      </c>
      <c r="E41" s="14">
        <f>915.99+1797.01+29.2+187.87+1573.3+1589+5092.41+100</f>
        <v>11284.779999999999</v>
      </c>
      <c r="F41" s="14">
        <f>1479+1504</f>
        <v>2983</v>
      </c>
      <c r="G41" s="14">
        <f>1829+138.05+1479+429.99+79.97</f>
        <v>3956.0099999999998</v>
      </c>
      <c r="H41" s="14">
        <f>267.78+3485</f>
        <v>3752.7799999999997</v>
      </c>
      <c r="I41" s="14">
        <f>251.2+94.8+1144.76</f>
        <v>1490.76</v>
      </c>
      <c r="J41" s="14">
        <f>2249+1504+968.9+282.16+399+1368.96+949.99</f>
        <v>7722.0099999999993</v>
      </c>
      <c r="K41" s="14">
        <f>1709+1219+189+192.07</f>
        <v>3309.07</v>
      </c>
      <c r="M41" s="14"/>
      <c r="N41" s="14"/>
      <c r="O41" s="14"/>
      <c r="P41" s="4"/>
      <c r="Q41" s="10">
        <f t="shared" si="3"/>
        <v>34849.959999999992</v>
      </c>
    </row>
    <row r="42" spans="2:17" x14ac:dyDescent="0.3">
      <c r="B42" s="41" t="s">
        <v>42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4"/>
      <c r="Q42" s="10">
        <f t="shared" si="3"/>
        <v>0</v>
      </c>
    </row>
    <row r="43" spans="2:17" x14ac:dyDescent="0.3">
      <c r="B43" s="41" t="s">
        <v>37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4"/>
      <c r="Q43" s="10">
        <f t="shared" si="3"/>
        <v>0</v>
      </c>
    </row>
    <row r="44" spans="2:17" x14ac:dyDescent="0.3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4"/>
      <c r="Q44" s="10">
        <f t="shared" si="3"/>
        <v>0</v>
      </c>
    </row>
    <row r="45" spans="2:17" x14ac:dyDescent="0.3">
      <c r="B45" s="42" t="s">
        <v>7</v>
      </c>
      <c r="C45" s="14"/>
      <c r="D45" s="14">
        <v>87282</v>
      </c>
      <c r="E45" s="14">
        <f>92515+5</f>
        <v>92520</v>
      </c>
      <c r="F45" s="14">
        <v>99636</v>
      </c>
      <c r="G45" s="14">
        <v>95113</v>
      </c>
      <c r="H45" s="14">
        <f>97958+2</f>
        <v>97960</v>
      </c>
      <c r="I45" s="14">
        <v>103095</v>
      </c>
      <c r="J45" s="14">
        <v>103450</v>
      </c>
      <c r="K45" s="14">
        <v>102323</v>
      </c>
      <c r="L45" s="14"/>
      <c r="M45" s="14"/>
      <c r="N45" s="14"/>
      <c r="O45" s="14"/>
      <c r="P45" s="4"/>
      <c r="Q45" s="10">
        <f t="shared" si="3"/>
        <v>781379</v>
      </c>
    </row>
    <row r="46" spans="2:17" x14ac:dyDescent="0.3">
      <c r="B46" s="43" t="s">
        <v>6</v>
      </c>
      <c r="C46" s="14"/>
      <c r="D46" s="14">
        <v>32122.63</v>
      </c>
      <c r="E46" s="14">
        <v>33001.03</v>
      </c>
      <c r="F46" s="14">
        <f>35347.28</f>
        <v>35347.279999999999</v>
      </c>
      <c r="G46" s="14">
        <v>33634.25</v>
      </c>
      <c r="H46" s="14">
        <v>33385.949999999997</v>
      </c>
      <c r="I46" s="14">
        <v>35477.54</v>
      </c>
      <c r="J46" s="14">
        <v>35444.61</v>
      </c>
      <c r="K46" s="14">
        <v>35512.04</v>
      </c>
      <c r="L46" s="14"/>
      <c r="M46" s="14"/>
      <c r="N46" s="14"/>
      <c r="O46" s="14"/>
      <c r="P46" s="4"/>
      <c r="Q46" s="10">
        <f t="shared" si="3"/>
        <v>273925.33</v>
      </c>
    </row>
    <row r="47" spans="2:17" x14ac:dyDescent="0.3">
      <c r="B47" s="43" t="s">
        <v>5</v>
      </c>
      <c r="C47" s="14"/>
      <c r="D47" s="14"/>
      <c r="E47" s="14">
        <f>9074.94</f>
        <v>9074.94</v>
      </c>
      <c r="F47" s="14"/>
      <c r="G47" s="14">
        <v>11785.2</v>
      </c>
      <c r="H47" s="14"/>
      <c r="I47" s="14"/>
      <c r="J47" s="14">
        <v>12075</v>
      </c>
      <c r="K47" s="14"/>
      <c r="L47" s="14"/>
      <c r="M47" s="14"/>
      <c r="N47" s="14"/>
      <c r="O47" s="14"/>
      <c r="P47" s="4"/>
      <c r="Q47" s="10">
        <f t="shared" si="3"/>
        <v>32935.14</v>
      </c>
    </row>
    <row r="48" spans="2:17" x14ac:dyDescent="0.3">
      <c r="B48" s="43" t="s">
        <v>4</v>
      </c>
      <c r="C48" s="14"/>
      <c r="D48" s="14"/>
      <c r="E48" s="14">
        <v>8770.83</v>
      </c>
      <c r="F48" s="14"/>
      <c r="G48" s="14">
        <v>9419.5499999999993</v>
      </c>
      <c r="H48" s="14"/>
      <c r="I48" s="14"/>
      <c r="J48" s="14">
        <v>9680.85</v>
      </c>
      <c r="K48" s="14"/>
      <c r="L48" s="14"/>
      <c r="M48" s="14"/>
      <c r="N48" s="14"/>
      <c r="O48" s="14"/>
      <c r="P48" s="4"/>
      <c r="Q48" s="10">
        <f t="shared" si="3"/>
        <v>27871.229999999996</v>
      </c>
    </row>
    <row r="49" spans="2:17" ht="15" thickBot="1" x14ac:dyDescent="0.35">
      <c r="B49" s="43" t="s">
        <v>3</v>
      </c>
      <c r="C49" s="14"/>
      <c r="D49" s="14">
        <v>17854</v>
      </c>
      <c r="E49" s="14">
        <v>15233</v>
      </c>
      <c r="F49" s="14">
        <f>16160</f>
        <v>16160</v>
      </c>
      <c r="G49" s="14">
        <v>14536</v>
      </c>
      <c r="H49" s="14">
        <v>14318</v>
      </c>
      <c r="I49" s="14">
        <v>14617</v>
      </c>
      <c r="J49" s="14">
        <v>15554</v>
      </c>
      <c r="K49" s="14">
        <v>16196</v>
      </c>
      <c r="L49" s="14"/>
      <c r="M49" s="14"/>
      <c r="N49" s="14"/>
      <c r="O49" s="14"/>
      <c r="P49" s="4"/>
      <c r="Q49" s="10">
        <f t="shared" si="3"/>
        <v>124468</v>
      </c>
    </row>
    <row r="50" spans="2:17" ht="16.2" thickBot="1" x14ac:dyDescent="0.35">
      <c r="B50" s="9" t="s">
        <v>2</v>
      </c>
      <c r="C50" s="8">
        <f>C17+C49</f>
        <v>0</v>
      </c>
      <c r="D50" s="8">
        <f t="shared" ref="D50:L50" si="4">SUM(D17:D49)</f>
        <v>481477.75000000006</v>
      </c>
      <c r="E50" s="8">
        <f t="shared" si="4"/>
        <v>544536.39</v>
      </c>
      <c r="F50" s="8">
        <f t="shared" si="4"/>
        <v>591609.01</v>
      </c>
      <c r="G50" s="8">
        <f t="shared" si="4"/>
        <v>533043.55000000005</v>
      </c>
      <c r="H50" s="8">
        <f t="shared" si="4"/>
        <v>637707.73</v>
      </c>
      <c r="I50" s="8">
        <f t="shared" si="4"/>
        <v>538113.26</v>
      </c>
      <c r="J50" s="8">
        <f t="shared" si="4"/>
        <v>590884</v>
      </c>
      <c r="K50" s="8">
        <f t="shared" si="4"/>
        <v>506662.19</v>
      </c>
      <c r="L50" s="8">
        <f t="shared" si="4"/>
        <v>0</v>
      </c>
      <c r="M50" s="8">
        <f t="shared" ref="M50:O50" si="5">M17+M49</f>
        <v>0</v>
      </c>
      <c r="N50" s="8">
        <f t="shared" si="5"/>
        <v>0</v>
      </c>
      <c r="O50" s="8">
        <f t="shared" si="5"/>
        <v>0</v>
      </c>
      <c r="P50" s="7"/>
      <c r="Q50" s="3">
        <f>+SUM(C50:O50)</f>
        <v>4424033.8800000008</v>
      </c>
    </row>
    <row r="51" spans="2:17" ht="15" thickBot="1" x14ac:dyDescent="0.35">
      <c r="B51" s="6"/>
      <c r="C51" s="5"/>
      <c r="D51" s="5"/>
      <c r="E51" s="5"/>
      <c r="F51" s="5"/>
      <c r="G51" s="5"/>
      <c r="H51" s="5"/>
      <c r="I51" s="5"/>
      <c r="J51" s="5"/>
      <c r="K51" s="5"/>
      <c r="M51" s="5"/>
      <c r="N51" s="5"/>
      <c r="P51" s="4"/>
    </row>
    <row r="52" spans="2:17" ht="15.6" x14ac:dyDescent="0.3">
      <c r="B52" s="67" t="s">
        <v>1</v>
      </c>
      <c r="C52" s="46">
        <f t="shared" ref="C52:O52" si="6">C14-C50</f>
        <v>99543.81</v>
      </c>
      <c r="D52" s="46">
        <f t="shared" si="6"/>
        <v>183752.73000000004</v>
      </c>
      <c r="E52" s="46">
        <f t="shared" si="6"/>
        <v>-98423.400000000023</v>
      </c>
      <c r="F52" s="46">
        <f t="shared" si="6"/>
        <v>4032.0400000000373</v>
      </c>
      <c r="G52" s="46">
        <f t="shared" si="6"/>
        <v>120474.04999999993</v>
      </c>
      <c r="H52" s="46">
        <f t="shared" si="6"/>
        <v>-93740.869999999879</v>
      </c>
      <c r="I52" s="46">
        <f t="shared" si="6"/>
        <v>-42402.260000000009</v>
      </c>
      <c r="J52" s="46">
        <f t="shared" si="6"/>
        <v>12287</v>
      </c>
      <c r="K52" s="46">
        <f t="shared" si="6"/>
        <v>33419.360000000044</v>
      </c>
      <c r="L52" s="46">
        <f t="shared" si="6"/>
        <v>0</v>
      </c>
      <c r="M52" s="46">
        <f t="shared" si="6"/>
        <v>0</v>
      </c>
      <c r="N52" s="46">
        <f t="shared" si="6"/>
        <v>0</v>
      </c>
      <c r="O52" s="46">
        <f t="shared" si="6"/>
        <v>0</v>
      </c>
      <c r="P52" s="47"/>
      <c r="Q52" s="48">
        <f>Q14-Q50</f>
        <v>218942.45999999903</v>
      </c>
    </row>
    <row r="53" spans="2:17" ht="16.2" thickBot="1" x14ac:dyDescent="0.35">
      <c r="B53" s="68" t="s">
        <v>0</v>
      </c>
      <c r="C53" s="46">
        <f>C52</f>
        <v>99543.81</v>
      </c>
      <c r="D53" s="46">
        <f>D52+C53</f>
        <v>283296.54000000004</v>
      </c>
      <c r="E53" s="46">
        <f>E52+D53</f>
        <v>184873.14</v>
      </c>
      <c r="F53" s="46">
        <f t="shared" ref="F53:O53" si="7">F52+E53</f>
        <v>188905.18000000005</v>
      </c>
      <c r="G53" s="46">
        <f t="shared" si="7"/>
        <v>309379.23</v>
      </c>
      <c r="H53" s="46">
        <f t="shared" si="7"/>
        <v>215638.3600000001</v>
      </c>
      <c r="I53" s="46">
        <f t="shared" si="7"/>
        <v>173236.10000000009</v>
      </c>
      <c r="J53" s="46">
        <f t="shared" si="7"/>
        <v>185523.10000000009</v>
      </c>
      <c r="K53" s="46">
        <f t="shared" si="7"/>
        <v>218942.46000000014</v>
      </c>
      <c r="L53" s="46">
        <f t="shared" si="7"/>
        <v>218942.46000000014</v>
      </c>
      <c r="M53" s="46">
        <f t="shared" si="7"/>
        <v>218942.46000000014</v>
      </c>
      <c r="N53" s="46">
        <f t="shared" si="7"/>
        <v>218942.46000000014</v>
      </c>
      <c r="O53" s="46">
        <f t="shared" si="7"/>
        <v>218942.46000000014</v>
      </c>
      <c r="P53" s="47"/>
      <c r="Q53" s="48"/>
    </row>
  </sheetData>
  <mergeCells count="1">
    <mergeCell ref="B2:C3"/>
  </mergeCells>
  <conditionalFormatting sqref="C52:Q53">
    <cfRule type="cellIs" dxfId="19" priority="1" operator="lessThan">
      <formula>0</formula>
    </cfRule>
    <cfRule type="cellIs" dxfId="18" priority="2" operator="greaterThan">
      <formula>0</formula>
    </cfRule>
  </conditionalFormatting>
  <conditionalFormatting sqref="Q50">
    <cfRule type="cellIs" dxfId="17" priority="3" operator="greaterThan">
      <formula>0</formula>
    </cfRule>
    <cfRule type="cellIs" dxfId="16" priority="4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Réel 2024</vt:lpstr>
      <vt:lpstr>Estimation Janvier</vt:lpstr>
      <vt:lpstr>Estimation Février</vt:lpstr>
      <vt:lpstr>Estimation Mars</vt:lpstr>
      <vt:lpstr>Estimation Avril</vt:lpstr>
      <vt:lpstr>Estimation Mai</vt:lpstr>
      <vt:lpstr>Estimation Juin</vt:lpstr>
      <vt:lpstr>Estimation Juillet</vt:lpstr>
      <vt:lpstr>Estimation Août</vt:lpstr>
      <vt:lpstr>Estimation Septembre</vt:lpstr>
      <vt:lpstr>Estimation Octobre</vt:lpstr>
      <vt:lpstr>Estimation Novembre</vt:lpstr>
      <vt:lpstr>Estimation Décembre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mdimagh afef</dc:creator>
  <cp:lastModifiedBy>Olfa TRIGUI</cp:lastModifiedBy>
  <dcterms:created xsi:type="dcterms:W3CDTF">2022-02-18T15:52:12Z</dcterms:created>
  <dcterms:modified xsi:type="dcterms:W3CDTF">2025-01-22T09:13:56Z</dcterms:modified>
</cp:coreProperties>
</file>