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aa4b70df12e1b7/Bureau/"/>
    </mc:Choice>
  </mc:AlternateContent>
  <xr:revisionPtr revIDLastSave="0" documentId="14_{E0BF2229-BE39-4928-A293-63E037752D5B}" xr6:coauthVersionLast="47" xr6:coauthVersionMax="47" xr10:uidLastSave="{00000000-0000-0000-0000-000000000000}"/>
  <bookViews>
    <workbookView xWindow="-98" yWindow="-98" windowWidth="22695" windowHeight="14476" firstSheet="7" activeTab="11" xr2:uid="{00000000-000D-0000-FFFF-FFFF00000000}"/>
  </bookViews>
  <sheets>
    <sheet name="Réel 2023" sheetId="2" r:id="rId1"/>
    <sheet name="Estimation Janv" sheetId="4" r:id="rId2"/>
    <sheet name="Estimation Fév" sheetId="5" r:id="rId3"/>
    <sheet name="Estimation Mars" sheetId="7" r:id="rId4"/>
    <sheet name="Estimation Avril" sheetId="10" r:id="rId5"/>
    <sheet name="Estimation Mai" sheetId="12" r:id="rId6"/>
    <sheet name="Estimation Juin" sheetId="15" r:id="rId7"/>
    <sheet name="Estimation Juillet" sheetId="16" r:id="rId8"/>
    <sheet name="Estimation Août" sheetId="18" r:id="rId9"/>
    <sheet name="Estimation Septembre" sheetId="19" r:id="rId10"/>
    <sheet name="Estimation Octobre" sheetId="20" r:id="rId11"/>
    <sheet name="Estimation Novembre" sheetId="21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21" l="1"/>
  <c r="O45" i="21"/>
  <c r="C45" i="21"/>
  <c r="M44" i="21"/>
  <c r="L44" i="21"/>
  <c r="K44" i="21"/>
  <c r="G44" i="21"/>
  <c r="Q44" i="21" s="1"/>
  <c r="M43" i="21"/>
  <c r="Q43" i="21" s="1"/>
  <c r="Q42" i="21"/>
  <c r="M42" i="21"/>
  <c r="Q41" i="21"/>
  <c r="G41" i="21"/>
  <c r="D41" i="21"/>
  <c r="M40" i="21"/>
  <c r="L40" i="21"/>
  <c r="I40" i="21"/>
  <c r="Q40" i="21" s="1"/>
  <c r="Q39" i="21"/>
  <c r="Q38" i="21"/>
  <c r="Q37" i="21"/>
  <c r="N36" i="21"/>
  <c r="M36" i="21"/>
  <c r="L36" i="21"/>
  <c r="K36" i="21"/>
  <c r="J36" i="21"/>
  <c r="I36" i="21"/>
  <c r="H36" i="21"/>
  <c r="G36" i="21"/>
  <c r="F36" i="21"/>
  <c r="E36" i="21"/>
  <c r="D36" i="21"/>
  <c r="D45" i="21" s="1"/>
  <c r="Q35" i="21"/>
  <c r="M35" i="21"/>
  <c r="L34" i="21"/>
  <c r="J34" i="21"/>
  <c r="I34" i="21"/>
  <c r="H34" i="21"/>
  <c r="F34" i="21"/>
  <c r="Q34" i="21" s="1"/>
  <c r="E34" i="21"/>
  <c r="M33" i="21"/>
  <c r="L33" i="21"/>
  <c r="K33" i="21"/>
  <c r="J33" i="21"/>
  <c r="I33" i="21"/>
  <c r="H33" i="21"/>
  <c r="G33" i="21"/>
  <c r="Q33" i="21" s="1"/>
  <c r="F33" i="21"/>
  <c r="E33" i="21"/>
  <c r="D33" i="21"/>
  <c r="Q32" i="21"/>
  <c r="M31" i="21"/>
  <c r="L31" i="21"/>
  <c r="K31" i="21"/>
  <c r="J31" i="21"/>
  <c r="I31" i="21"/>
  <c r="H31" i="21"/>
  <c r="G31" i="21"/>
  <c r="F31" i="21"/>
  <c r="Q31" i="21" s="1"/>
  <c r="E31" i="21"/>
  <c r="M30" i="21"/>
  <c r="L30" i="21"/>
  <c r="Q30" i="21" s="1"/>
  <c r="Q29" i="21"/>
  <c r="Q28" i="21"/>
  <c r="M27" i="21"/>
  <c r="M45" i="21" s="1"/>
  <c r="L27" i="21"/>
  <c r="K27" i="21"/>
  <c r="J27" i="21"/>
  <c r="I27" i="21"/>
  <c r="H27" i="21"/>
  <c r="G27" i="21"/>
  <c r="G45" i="21" s="1"/>
  <c r="F27" i="21"/>
  <c r="E27" i="21"/>
  <c r="Q27" i="21" s="1"/>
  <c r="D27" i="21"/>
  <c r="L26" i="21"/>
  <c r="J26" i="21"/>
  <c r="I26" i="21"/>
  <c r="Q26" i="21" s="1"/>
  <c r="Q25" i="21"/>
  <c r="Q24" i="21"/>
  <c r="Q23" i="21"/>
  <c r="Q22" i="21"/>
  <c r="I22" i="21"/>
  <c r="F22" i="21"/>
  <c r="F45" i="21" s="1"/>
  <c r="M21" i="21"/>
  <c r="Q21" i="21" s="1"/>
  <c r="N20" i="21"/>
  <c r="L20" i="21"/>
  <c r="Q20" i="21" s="1"/>
  <c r="Q19" i="21"/>
  <c r="M19" i="21"/>
  <c r="J19" i="21"/>
  <c r="H19" i="21"/>
  <c r="K18" i="21"/>
  <c r="Q18" i="21" s="1"/>
  <c r="N17" i="21"/>
  <c r="N45" i="21" s="1"/>
  <c r="M17" i="21"/>
  <c r="L17" i="21"/>
  <c r="K17" i="21"/>
  <c r="K45" i="21" s="1"/>
  <c r="J17" i="21"/>
  <c r="J45" i="21" s="1"/>
  <c r="I17" i="21"/>
  <c r="I45" i="21" s="1"/>
  <c r="H17" i="21"/>
  <c r="H45" i="21" s="1"/>
  <c r="O14" i="21"/>
  <c r="O47" i="21" s="1"/>
  <c r="L14" i="21"/>
  <c r="H14" i="21"/>
  <c r="G14" i="21"/>
  <c r="G47" i="21" s="1"/>
  <c r="D14" i="21"/>
  <c r="C14" i="21"/>
  <c r="C47" i="21" s="1"/>
  <c r="C48" i="21" s="1"/>
  <c r="Q13" i="21"/>
  <c r="Q12" i="21"/>
  <c r="N14" i="21"/>
  <c r="M11" i="21"/>
  <c r="M14" i="21" s="1"/>
  <c r="L11" i="21"/>
  <c r="K11" i="21"/>
  <c r="K14" i="21" s="1"/>
  <c r="K47" i="21" s="1"/>
  <c r="J11" i="21"/>
  <c r="J14" i="21" s="1"/>
  <c r="I11" i="21"/>
  <c r="I14" i="21" s="1"/>
  <c r="H11" i="21"/>
  <c r="G11" i="21"/>
  <c r="F11" i="21"/>
  <c r="F14" i="21" s="1"/>
  <c r="F47" i="21" s="1"/>
  <c r="E11" i="21"/>
  <c r="E14" i="21" s="1"/>
  <c r="D11" i="21"/>
  <c r="Q9" i="21"/>
  <c r="Q8" i="21"/>
  <c r="Q7" i="21"/>
  <c r="Q6" i="21"/>
  <c r="P2" i="21"/>
  <c r="O47" i="20"/>
  <c r="O45" i="20"/>
  <c r="C45" i="20"/>
  <c r="Q44" i="20"/>
  <c r="M44" i="20"/>
  <c r="L44" i="20"/>
  <c r="K44" i="20"/>
  <c r="G44" i="20"/>
  <c r="Q43" i="20"/>
  <c r="M43" i="20"/>
  <c r="M42" i="20"/>
  <c r="Q42" i="20" s="1"/>
  <c r="G41" i="20"/>
  <c r="Q41" i="20" s="1"/>
  <c r="D41" i="20"/>
  <c r="M40" i="20"/>
  <c r="Q40" i="20" s="1"/>
  <c r="L40" i="20"/>
  <c r="I40" i="20"/>
  <c r="Q39" i="20"/>
  <c r="Q38" i="20"/>
  <c r="Q37" i="20"/>
  <c r="M36" i="20"/>
  <c r="L36" i="20"/>
  <c r="K36" i="20"/>
  <c r="J36" i="20"/>
  <c r="J45" i="20" s="1"/>
  <c r="I36" i="20"/>
  <c r="H36" i="20"/>
  <c r="G36" i="20"/>
  <c r="F36" i="20"/>
  <c r="E36" i="20"/>
  <c r="D36" i="20"/>
  <c r="Q36" i="20" s="1"/>
  <c r="M35" i="20"/>
  <c r="Q35" i="20" s="1"/>
  <c r="L34" i="20"/>
  <c r="J34" i="20"/>
  <c r="I34" i="20"/>
  <c r="H34" i="20"/>
  <c r="F34" i="20"/>
  <c r="E34" i="20"/>
  <c r="Q34" i="20" s="1"/>
  <c r="M33" i="20"/>
  <c r="L33" i="20"/>
  <c r="K33" i="20"/>
  <c r="J33" i="20"/>
  <c r="I33" i="20"/>
  <c r="H33" i="20"/>
  <c r="G33" i="20"/>
  <c r="F33" i="20"/>
  <c r="E33" i="20"/>
  <c r="D33" i="20"/>
  <c r="Q33" i="20" s="1"/>
  <c r="Q32" i="20"/>
  <c r="M31" i="20"/>
  <c r="L31" i="20"/>
  <c r="K31" i="20"/>
  <c r="J31" i="20"/>
  <c r="I31" i="20"/>
  <c r="H31" i="20"/>
  <c r="G31" i="20"/>
  <c r="F31" i="20"/>
  <c r="E31" i="20"/>
  <c r="Q31" i="20" s="1"/>
  <c r="Q30" i="20"/>
  <c r="M30" i="20"/>
  <c r="L30" i="20"/>
  <c r="Q29" i="20"/>
  <c r="Q28" i="20"/>
  <c r="M27" i="20"/>
  <c r="L27" i="20"/>
  <c r="K27" i="20"/>
  <c r="J27" i="20"/>
  <c r="I27" i="20"/>
  <c r="H27" i="20"/>
  <c r="G27" i="20"/>
  <c r="G45" i="20" s="1"/>
  <c r="F27" i="20"/>
  <c r="Q27" i="20" s="1"/>
  <c r="E27" i="20"/>
  <c r="D27" i="20"/>
  <c r="D45" i="20" s="1"/>
  <c r="Q26" i="20"/>
  <c r="L26" i="20"/>
  <c r="J26" i="20"/>
  <c r="I26" i="20"/>
  <c r="Q25" i="20"/>
  <c r="Q24" i="20"/>
  <c r="Q23" i="20"/>
  <c r="I22" i="20"/>
  <c r="Q22" i="20" s="1"/>
  <c r="F22" i="20"/>
  <c r="F45" i="20" s="1"/>
  <c r="M21" i="20"/>
  <c r="Q21" i="20" s="1"/>
  <c r="Q20" i="20"/>
  <c r="L20" i="20"/>
  <c r="M19" i="20"/>
  <c r="Q19" i="20" s="1"/>
  <c r="J19" i="20"/>
  <c r="H19" i="20"/>
  <c r="K18" i="20"/>
  <c r="Q18" i="20" s="1"/>
  <c r="N45" i="20"/>
  <c r="L17" i="20"/>
  <c r="Q17" i="20" s="1"/>
  <c r="K17" i="20"/>
  <c r="K45" i="20" s="1"/>
  <c r="J17" i="20"/>
  <c r="I17" i="20"/>
  <c r="I45" i="20" s="1"/>
  <c r="H17" i="20"/>
  <c r="H45" i="20" s="1"/>
  <c r="O14" i="20"/>
  <c r="N14" i="20"/>
  <c r="M14" i="20"/>
  <c r="I14" i="20"/>
  <c r="I47" i="20" s="1"/>
  <c r="H14" i="20"/>
  <c r="F14" i="20"/>
  <c r="E14" i="20"/>
  <c r="C14" i="20"/>
  <c r="C47" i="20" s="1"/>
  <c r="C48" i="20" s="1"/>
  <c r="Q13" i="20"/>
  <c r="Q12" i="20"/>
  <c r="L11" i="20"/>
  <c r="L14" i="20" s="1"/>
  <c r="K11" i="20"/>
  <c r="K14" i="20" s="1"/>
  <c r="K47" i="20" s="1"/>
  <c r="J11" i="20"/>
  <c r="J14" i="20" s="1"/>
  <c r="J47" i="20" s="1"/>
  <c r="I11" i="20"/>
  <c r="H11" i="20"/>
  <c r="G11" i="20"/>
  <c r="G14" i="20" s="1"/>
  <c r="G47" i="20" s="1"/>
  <c r="F11" i="20"/>
  <c r="E11" i="20"/>
  <c r="D11" i="20"/>
  <c r="D14" i="20" s="1"/>
  <c r="Q9" i="20"/>
  <c r="Q8" i="20"/>
  <c r="Q7" i="20"/>
  <c r="Q6" i="20"/>
  <c r="P2" i="20"/>
  <c r="M11" i="2"/>
  <c r="M17" i="2"/>
  <c r="N11" i="2"/>
  <c r="N33" i="2"/>
  <c r="N20" i="2"/>
  <c r="N36" i="2"/>
  <c r="N34" i="2"/>
  <c r="N17" i="2"/>
  <c r="M33" i="2"/>
  <c r="M43" i="2"/>
  <c r="M42" i="2"/>
  <c r="M36" i="2"/>
  <c r="M30" i="2"/>
  <c r="M44" i="2"/>
  <c r="M27" i="2"/>
  <c r="M31" i="2"/>
  <c r="M19" i="2"/>
  <c r="M40" i="2"/>
  <c r="M21" i="2"/>
  <c r="M35" i="2"/>
  <c r="L36" i="2"/>
  <c r="L31" i="2"/>
  <c r="L34" i="2"/>
  <c r="L33" i="2"/>
  <c r="L26" i="2"/>
  <c r="L17" i="2"/>
  <c r="L11" i="2"/>
  <c r="L27" i="2"/>
  <c r="L30" i="2"/>
  <c r="L20" i="2"/>
  <c r="L44" i="2"/>
  <c r="L40" i="2"/>
  <c r="K11" i="2"/>
  <c r="N47" i="19"/>
  <c r="O45" i="19"/>
  <c r="N45" i="19"/>
  <c r="M45" i="19"/>
  <c r="L45" i="19"/>
  <c r="D45" i="19"/>
  <c r="C45" i="19"/>
  <c r="Q44" i="19"/>
  <c r="K44" i="19"/>
  <c r="G44" i="19"/>
  <c r="Q43" i="19"/>
  <c r="Q42" i="19"/>
  <c r="G41" i="19"/>
  <c r="D41" i="19"/>
  <c r="Q41" i="19" s="1"/>
  <c r="Q40" i="19"/>
  <c r="I40" i="19"/>
  <c r="Q39" i="19"/>
  <c r="Q38" i="19"/>
  <c r="Q37" i="19"/>
  <c r="K36" i="19"/>
  <c r="J36" i="19"/>
  <c r="I36" i="19"/>
  <c r="H36" i="19"/>
  <c r="G36" i="19"/>
  <c r="F36" i="19"/>
  <c r="E36" i="19"/>
  <c r="D36" i="19"/>
  <c r="Q36" i="19" s="1"/>
  <c r="Q35" i="19"/>
  <c r="J34" i="19"/>
  <c r="J45" i="19" s="1"/>
  <c r="I34" i="19"/>
  <c r="H34" i="19"/>
  <c r="F34" i="19"/>
  <c r="E34" i="19"/>
  <c r="Q34" i="19" s="1"/>
  <c r="K33" i="19"/>
  <c r="J33" i="19"/>
  <c r="I33" i="19"/>
  <c r="H33" i="19"/>
  <c r="G33" i="19"/>
  <c r="F33" i="19"/>
  <c r="E33" i="19"/>
  <c r="D33" i="19"/>
  <c r="Q33" i="19" s="1"/>
  <c r="Q32" i="19"/>
  <c r="K31" i="19"/>
  <c r="J31" i="19"/>
  <c r="I31" i="19"/>
  <c r="H31" i="19"/>
  <c r="G31" i="19"/>
  <c r="F31" i="19"/>
  <c r="E31" i="19"/>
  <c r="Q31" i="19" s="1"/>
  <c r="Q30" i="19"/>
  <c r="Q29" i="19"/>
  <c r="Q28" i="19"/>
  <c r="K27" i="19"/>
  <c r="J27" i="19"/>
  <c r="I27" i="19"/>
  <c r="H27" i="19"/>
  <c r="G27" i="19"/>
  <c r="G45" i="19" s="1"/>
  <c r="F27" i="19"/>
  <c r="F45" i="19" s="1"/>
  <c r="E27" i="19"/>
  <c r="E45" i="19" s="1"/>
  <c r="D27" i="19"/>
  <c r="Q27" i="19" s="1"/>
  <c r="J26" i="19"/>
  <c r="Q26" i="19" s="1"/>
  <c r="I26" i="19"/>
  <c r="Q25" i="19"/>
  <c r="Q24" i="19"/>
  <c r="Q23" i="19"/>
  <c r="I22" i="19"/>
  <c r="F22" i="19"/>
  <c r="Q22" i="19" s="1"/>
  <c r="Q21" i="19"/>
  <c r="Q20" i="19"/>
  <c r="J19" i="19"/>
  <c r="H19" i="19"/>
  <c r="Q19" i="19" s="1"/>
  <c r="K18" i="19"/>
  <c r="Q18" i="19" s="1"/>
  <c r="K17" i="19"/>
  <c r="K45" i="19" s="1"/>
  <c r="J17" i="19"/>
  <c r="I17" i="19"/>
  <c r="I45" i="19" s="1"/>
  <c r="H17" i="19"/>
  <c r="H45" i="19" s="1"/>
  <c r="O14" i="19"/>
  <c r="O47" i="19" s="1"/>
  <c r="N14" i="19"/>
  <c r="M14" i="19"/>
  <c r="M47" i="19" s="1"/>
  <c r="L14" i="19"/>
  <c r="J14" i="19"/>
  <c r="J47" i="19" s="1"/>
  <c r="I14" i="19"/>
  <c r="I47" i="19" s="1"/>
  <c r="H14" i="19"/>
  <c r="C14" i="19"/>
  <c r="C47" i="19" s="1"/>
  <c r="C48" i="19" s="1"/>
  <c r="Q13" i="19"/>
  <c r="Q12" i="19"/>
  <c r="K11" i="19"/>
  <c r="K14" i="19" s="1"/>
  <c r="J11" i="19"/>
  <c r="I11" i="19"/>
  <c r="H11" i="19"/>
  <c r="G11" i="19"/>
  <c r="G14" i="19" s="1"/>
  <c r="F11" i="19"/>
  <c r="F14" i="19" s="1"/>
  <c r="E11" i="19"/>
  <c r="E14" i="19" s="1"/>
  <c r="E47" i="19" s="1"/>
  <c r="D11" i="19"/>
  <c r="Q11" i="19" s="1"/>
  <c r="Q9" i="19"/>
  <c r="Q8" i="19"/>
  <c r="Q7" i="19"/>
  <c r="Q6" i="19"/>
  <c r="P2" i="19"/>
  <c r="K17" i="2"/>
  <c r="K33" i="2"/>
  <c r="K18" i="2"/>
  <c r="K31" i="2"/>
  <c r="K44" i="2"/>
  <c r="K36" i="2"/>
  <c r="K27" i="2"/>
  <c r="L47" i="18"/>
  <c r="C47" i="18"/>
  <c r="C48" i="18" s="1"/>
  <c r="O45" i="18"/>
  <c r="N45" i="18"/>
  <c r="M45" i="18"/>
  <c r="L45" i="18"/>
  <c r="K45" i="18"/>
  <c r="H45" i="18"/>
  <c r="C45" i="18"/>
  <c r="G44" i="18"/>
  <c r="Q44" i="18" s="1"/>
  <c r="Q43" i="18"/>
  <c r="Q42" i="18"/>
  <c r="Q41" i="18"/>
  <c r="G41" i="18"/>
  <c r="D41" i="18"/>
  <c r="I40" i="18"/>
  <c r="Q40" i="18" s="1"/>
  <c r="Q39" i="18"/>
  <c r="Q38" i="18"/>
  <c r="Q37" i="18"/>
  <c r="J36" i="18"/>
  <c r="I36" i="18"/>
  <c r="H36" i="18"/>
  <c r="G36" i="18"/>
  <c r="F36" i="18"/>
  <c r="E36" i="18"/>
  <c r="D36" i="18"/>
  <c r="Q36" i="18" s="1"/>
  <c r="Q35" i="18"/>
  <c r="J34" i="18"/>
  <c r="I34" i="18"/>
  <c r="H34" i="18"/>
  <c r="F34" i="18"/>
  <c r="E34" i="18"/>
  <c r="Q34" i="18" s="1"/>
  <c r="J33" i="18"/>
  <c r="I33" i="18"/>
  <c r="H33" i="18"/>
  <c r="G33" i="18"/>
  <c r="F33" i="18"/>
  <c r="E33" i="18"/>
  <c r="D33" i="18"/>
  <c r="Q33" i="18" s="1"/>
  <c r="Q32" i="18"/>
  <c r="J31" i="18"/>
  <c r="I31" i="18"/>
  <c r="H31" i="18"/>
  <c r="G31" i="18"/>
  <c r="F31" i="18"/>
  <c r="E31" i="18"/>
  <c r="Q31" i="18" s="1"/>
  <c r="Q30" i="18"/>
  <c r="Q29" i="18"/>
  <c r="Q28" i="18"/>
  <c r="J27" i="18"/>
  <c r="I27" i="18"/>
  <c r="H27" i="18"/>
  <c r="G27" i="18"/>
  <c r="G45" i="18" s="1"/>
  <c r="F27" i="18"/>
  <c r="F45" i="18" s="1"/>
  <c r="E27" i="18"/>
  <c r="E45" i="18" s="1"/>
  <c r="D27" i="18"/>
  <c r="D45" i="18" s="1"/>
  <c r="J26" i="18"/>
  <c r="I26" i="18"/>
  <c r="I45" i="18" s="1"/>
  <c r="Q25" i="18"/>
  <c r="Q24" i="18"/>
  <c r="Q23" i="18"/>
  <c r="Q22" i="18"/>
  <c r="I22" i="18"/>
  <c r="F22" i="18"/>
  <c r="Q21" i="18"/>
  <c r="Q20" i="18"/>
  <c r="J19" i="18"/>
  <c r="Q19" i="18" s="1"/>
  <c r="H19" i="18"/>
  <c r="Q18" i="18"/>
  <c r="J17" i="18"/>
  <c r="I17" i="18"/>
  <c r="H17" i="18"/>
  <c r="Q17" i="18" s="1"/>
  <c r="O14" i="18"/>
  <c r="O47" i="18" s="1"/>
  <c r="N14" i="18"/>
  <c r="N47" i="18" s="1"/>
  <c r="M14" i="18"/>
  <c r="M47" i="18" s="1"/>
  <c r="L14" i="18"/>
  <c r="K14" i="18"/>
  <c r="I14" i="18"/>
  <c r="H14" i="18"/>
  <c r="H47" i="18" s="1"/>
  <c r="G14" i="18"/>
  <c r="G47" i="18" s="1"/>
  <c r="F14" i="18"/>
  <c r="C14" i="18"/>
  <c r="Q13" i="18"/>
  <c r="Q12" i="18"/>
  <c r="J11" i="18"/>
  <c r="J14" i="18" s="1"/>
  <c r="I11" i="18"/>
  <c r="H11" i="18"/>
  <c r="G11" i="18"/>
  <c r="F11" i="18"/>
  <c r="E11" i="18"/>
  <c r="E14" i="18" s="1"/>
  <c r="D11" i="18"/>
  <c r="D14" i="18" s="1"/>
  <c r="Q9" i="18"/>
  <c r="Q8" i="18"/>
  <c r="Q7" i="18"/>
  <c r="Q6" i="18"/>
  <c r="P2" i="18"/>
  <c r="J33" i="16"/>
  <c r="J33" i="2"/>
  <c r="J31" i="16"/>
  <c r="J31" i="2"/>
  <c r="J19" i="2"/>
  <c r="J11" i="2"/>
  <c r="J17" i="2"/>
  <c r="J34" i="2"/>
  <c r="J34" i="16"/>
  <c r="J26" i="2"/>
  <c r="J36" i="2"/>
  <c r="J27" i="2"/>
  <c r="J17" i="16"/>
  <c r="J27" i="16"/>
  <c r="M47" i="16"/>
  <c r="L47" i="16"/>
  <c r="K47" i="16"/>
  <c r="C47" i="16"/>
  <c r="C48" i="16" s="1"/>
  <c r="O45" i="16"/>
  <c r="N45" i="16"/>
  <c r="M45" i="16"/>
  <c r="L45" i="16"/>
  <c r="K45" i="16"/>
  <c r="I45" i="16"/>
  <c r="C45" i="16"/>
  <c r="G44" i="16"/>
  <c r="Q44" i="16" s="1"/>
  <c r="Q43" i="16"/>
  <c r="Q42" i="16"/>
  <c r="Q41" i="16"/>
  <c r="G41" i="16"/>
  <c r="D41" i="16"/>
  <c r="I40" i="16"/>
  <c r="Q40" i="16" s="1"/>
  <c r="Q39" i="16"/>
  <c r="Q38" i="16"/>
  <c r="Q37" i="16"/>
  <c r="J36" i="16"/>
  <c r="I36" i="16"/>
  <c r="H36" i="16"/>
  <c r="G36" i="16"/>
  <c r="F36" i="16"/>
  <c r="Q36" i="16" s="1"/>
  <c r="E36" i="16"/>
  <c r="D36" i="16"/>
  <c r="Q35" i="16"/>
  <c r="I34" i="16"/>
  <c r="H34" i="16"/>
  <c r="F34" i="16"/>
  <c r="E34" i="16"/>
  <c r="Q34" i="16" s="1"/>
  <c r="I33" i="16"/>
  <c r="H33" i="16"/>
  <c r="G33" i="16"/>
  <c r="F33" i="16"/>
  <c r="E33" i="16"/>
  <c r="D33" i="16"/>
  <c r="Q33" i="16" s="1"/>
  <c r="Q32" i="16"/>
  <c r="I31" i="16"/>
  <c r="H31" i="16"/>
  <c r="G31" i="16"/>
  <c r="F31" i="16"/>
  <c r="E31" i="16"/>
  <c r="Q30" i="16"/>
  <c r="Q29" i="16"/>
  <c r="Q28" i="16"/>
  <c r="I27" i="16"/>
  <c r="H27" i="16"/>
  <c r="G27" i="16"/>
  <c r="G45" i="16" s="1"/>
  <c r="F27" i="16"/>
  <c r="E27" i="16"/>
  <c r="E45" i="16" s="1"/>
  <c r="D27" i="16"/>
  <c r="D45" i="16" s="1"/>
  <c r="I26" i="16"/>
  <c r="Q26" i="16" s="1"/>
  <c r="Q25" i="16"/>
  <c r="Q24" i="16"/>
  <c r="Q23" i="16"/>
  <c r="I22" i="16"/>
  <c r="F22" i="16"/>
  <c r="Q22" i="16" s="1"/>
  <c r="Q21" i="16"/>
  <c r="Q20" i="16"/>
  <c r="J19" i="16"/>
  <c r="Q19" i="16" s="1"/>
  <c r="H19" i="16"/>
  <c r="Q18" i="16"/>
  <c r="I17" i="16"/>
  <c r="H17" i="16"/>
  <c r="H45" i="16" s="1"/>
  <c r="O14" i="16"/>
  <c r="O47" i="16" s="1"/>
  <c r="N14" i="16"/>
  <c r="N47" i="16" s="1"/>
  <c r="M14" i="16"/>
  <c r="L14" i="16"/>
  <c r="K14" i="16"/>
  <c r="I14" i="16"/>
  <c r="I47" i="16" s="1"/>
  <c r="H14" i="16"/>
  <c r="G14" i="16"/>
  <c r="G47" i="16" s="1"/>
  <c r="C14" i="16"/>
  <c r="Q13" i="16"/>
  <c r="Q12" i="16"/>
  <c r="Q11" i="16"/>
  <c r="I11" i="16"/>
  <c r="H11" i="16"/>
  <c r="G11" i="16"/>
  <c r="F11" i="16"/>
  <c r="F14" i="16" s="1"/>
  <c r="E11" i="16"/>
  <c r="E14" i="16" s="1"/>
  <c r="E47" i="16" s="1"/>
  <c r="D11" i="16"/>
  <c r="D14" i="16" s="1"/>
  <c r="Q9" i="16"/>
  <c r="Q8" i="16"/>
  <c r="Q7" i="16"/>
  <c r="Q6" i="16"/>
  <c r="P2" i="16"/>
  <c r="I33" i="2"/>
  <c r="I34" i="2"/>
  <c r="I11" i="2"/>
  <c r="I17" i="2"/>
  <c r="I36" i="2"/>
  <c r="I26" i="2"/>
  <c r="I31" i="2"/>
  <c r="I22" i="2"/>
  <c r="I27" i="2"/>
  <c r="I40" i="2"/>
  <c r="I33" i="15"/>
  <c r="I36" i="15"/>
  <c r="H11" i="12"/>
  <c r="O45" i="15"/>
  <c r="N45" i="15"/>
  <c r="M45" i="15"/>
  <c r="L45" i="15"/>
  <c r="K45" i="15"/>
  <c r="J45" i="15"/>
  <c r="C45" i="15"/>
  <c r="G44" i="15"/>
  <c r="Q44" i="15" s="1"/>
  <c r="Q43" i="15"/>
  <c r="Q42" i="15"/>
  <c r="G41" i="15"/>
  <c r="D41" i="15"/>
  <c r="Q41" i="15" s="1"/>
  <c r="Q40" i="15"/>
  <c r="Q39" i="15"/>
  <c r="Q38" i="15"/>
  <c r="Q37" i="15"/>
  <c r="H36" i="15"/>
  <c r="G36" i="15"/>
  <c r="F36" i="15"/>
  <c r="E36" i="15"/>
  <c r="D36" i="15"/>
  <c r="Q35" i="15"/>
  <c r="H34" i="15"/>
  <c r="F34" i="15"/>
  <c r="E34" i="15"/>
  <c r="Q34" i="15" s="1"/>
  <c r="H33" i="15"/>
  <c r="G33" i="15"/>
  <c r="F33" i="15"/>
  <c r="E33" i="15"/>
  <c r="D33" i="15"/>
  <c r="Q32" i="15"/>
  <c r="H31" i="15"/>
  <c r="G31" i="15"/>
  <c r="F31" i="15"/>
  <c r="Q31" i="15" s="1"/>
  <c r="E31" i="15"/>
  <c r="Q30" i="15"/>
  <c r="Q29" i="15"/>
  <c r="Q28" i="15"/>
  <c r="H27" i="15"/>
  <c r="G27" i="15"/>
  <c r="G45" i="15" s="1"/>
  <c r="F27" i="15"/>
  <c r="E27" i="15"/>
  <c r="E45" i="15" s="1"/>
  <c r="D27" i="15"/>
  <c r="D45" i="15" s="1"/>
  <c r="Q26" i="15"/>
  <c r="Q25" i="15"/>
  <c r="Q24" i="15"/>
  <c r="Q23" i="15"/>
  <c r="Q22" i="15"/>
  <c r="F22" i="15"/>
  <c r="F45" i="15" s="1"/>
  <c r="Q21" i="15"/>
  <c r="Q20" i="15"/>
  <c r="H19" i="15"/>
  <c r="Q19" i="15" s="1"/>
  <c r="Q18" i="15"/>
  <c r="H17" i="15"/>
  <c r="Q17" i="15" s="1"/>
  <c r="O14" i="15"/>
  <c r="O47" i="15" s="1"/>
  <c r="N14" i="15"/>
  <c r="N47" i="15" s="1"/>
  <c r="M14" i="15"/>
  <c r="M47" i="15" s="1"/>
  <c r="L14" i="15"/>
  <c r="L47" i="15" s="1"/>
  <c r="K14" i="15"/>
  <c r="K47" i="15" s="1"/>
  <c r="J14" i="15"/>
  <c r="J47" i="15" s="1"/>
  <c r="I14" i="15"/>
  <c r="E14" i="15"/>
  <c r="E47" i="15" s="1"/>
  <c r="C14" i="15"/>
  <c r="C47" i="15" s="1"/>
  <c r="C48" i="15" s="1"/>
  <c r="Q13" i="15"/>
  <c r="Q12" i="15"/>
  <c r="H11" i="15"/>
  <c r="H14" i="15" s="1"/>
  <c r="G11" i="15"/>
  <c r="G14" i="15" s="1"/>
  <c r="F11" i="15"/>
  <c r="F14" i="15" s="1"/>
  <c r="F47" i="15" s="1"/>
  <c r="E11" i="15"/>
  <c r="D11" i="15"/>
  <c r="Q11" i="15" s="1"/>
  <c r="Q9" i="15"/>
  <c r="Q8" i="15"/>
  <c r="Q7" i="15"/>
  <c r="Q6" i="15"/>
  <c r="P2" i="15"/>
  <c r="N47" i="21" l="1"/>
  <c r="N47" i="20"/>
  <c r="I47" i="21"/>
  <c r="J47" i="21"/>
  <c r="D47" i="21"/>
  <c r="D48" i="21" s="1"/>
  <c r="H47" i="21"/>
  <c r="Q14" i="21"/>
  <c r="M47" i="21"/>
  <c r="L47" i="21"/>
  <c r="L45" i="21"/>
  <c r="Q11" i="21"/>
  <c r="Q17" i="21"/>
  <c r="E45" i="21"/>
  <c r="Q45" i="21" s="1"/>
  <c r="Q36" i="21"/>
  <c r="E47" i="20"/>
  <c r="F47" i="20"/>
  <c r="Q14" i="20"/>
  <c r="D47" i="20"/>
  <c r="H47" i="20"/>
  <c r="D48" i="20"/>
  <c r="L45" i="20"/>
  <c r="L47" i="20" s="1"/>
  <c r="Q11" i="20"/>
  <c r="M45" i="20"/>
  <c r="M47" i="20" s="1"/>
  <c r="E45" i="20"/>
  <c r="L47" i="19"/>
  <c r="K47" i="19"/>
  <c r="Q45" i="19"/>
  <c r="F47" i="19"/>
  <c r="G47" i="19"/>
  <c r="H47" i="19"/>
  <c r="D14" i="19"/>
  <c r="Q17" i="19"/>
  <c r="K47" i="18"/>
  <c r="I47" i="18"/>
  <c r="Q14" i="18"/>
  <c r="D47" i="18"/>
  <c r="E47" i="18"/>
  <c r="D48" i="18"/>
  <c r="F47" i="18"/>
  <c r="Q45" i="18"/>
  <c r="Q26" i="18"/>
  <c r="Q27" i="18"/>
  <c r="Q11" i="18"/>
  <c r="J45" i="18"/>
  <c r="J47" i="18" s="1"/>
  <c r="Q31" i="16"/>
  <c r="F47" i="16"/>
  <c r="H47" i="16"/>
  <c r="D47" i="16"/>
  <c r="D48" i="16"/>
  <c r="J14" i="16"/>
  <c r="Q27" i="16"/>
  <c r="J45" i="16"/>
  <c r="Q45" i="16" s="1"/>
  <c r="Q17" i="16"/>
  <c r="F45" i="16"/>
  <c r="Q33" i="15"/>
  <c r="I45" i="15"/>
  <c r="I47" i="15" s="1"/>
  <c r="Q36" i="15"/>
  <c r="G47" i="15"/>
  <c r="D14" i="15"/>
  <c r="Q27" i="15"/>
  <c r="H45" i="15"/>
  <c r="H11" i="2"/>
  <c r="H17" i="2"/>
  <c r="H36" i="2"/>
  <c r="H19" i="2"/>
  <c r="H34" i="2"/>
  <c r="H31" i="2"/>
  <c r="H27" i="2"/>
  <c r="H33" i="2"/>
  <c r="H14" i="12"/>
  <c r="H19" i="12"/>
  <c r="H27" i="12"/>
  <c r="H31" i="12"/>
  <c r="O47" i="12"/>
  <c r="N47" i="12"/>
  <c r="O45" i="12"/>
  <c r="N45" i="12"/>
  <c r="M45" i="12"/>
  <c r="L45" i="12"/>
  <c r="K45" i="12"/>
  <c r="J45" i="12"/>
  <c r="I45" i="12"/>
  <c r="D45" i="12"/>
  <c r="C45" i="12"/>
  <c r="Q44" i="12"/>
  <c r="G44" i="12"/>
  <c r="Q43" i="12"/>
  <c r="Q42" i="12"/>
  <c r="G41" i="12"/>
  <c r="D41" i="12"/>
  <c r="Q41" i="12" s="1"/>
  <c r="Q40" i="12"/>
  <c r="Q39" i="12"/>
  <c r="Q38" i="12"/>
  <c r="Q37" i="12"/>
  <c r="G36" i="12"/>
  <c r="F36" i="12"/>
  <c r="E36" i="12"/>
  <c r="D36" i="12"/>
  <c r="Q36" i="12" s="1"/>
  <c r="Q35" i="12"/>
  <c r="Q34" i="12"/>
  <c r="F34" i="12"/>
  <c r="E34" i="12"/>
  <c r="G33" i="12"/>
  <c r="F33" i="12"/>
  <c r="E33" i="12"/>
  <c r="D33" i="12"/>
  <c r="Q33" i="12" s="1"/>
  <c r="Q32" i="12"/>
  <c r="G31" i="12"/>
  <c r="F31" i="12"/>
  <c r="E31" i="12"/>
  <c r="Q30" i="12"/>
  <c r="Q29" i="12"/>
  <c r="Q28" i="12"/>
  <c r="G27" i="12"/>
  <c r="G45" i="12" s="1"/>
  <c r="F27" i="12"/>
  <c r="E27" i="12"/>
  <c r="D27" i="12"/>
  <c r="Q26" i="12"/>
  <c r="Q25" i="12"/>
  <c r="Q24" i="12"/>
  <c r="Q23" i="12"/>
  <c r="Q22" i="12"/>
  <c r="F22" i="12"/>
  <c r="F45" i="12" s="1"/>
  <c r="Q21" i="12"/>
  <c r="Q20" i="12"/>
  <c r="Q19" i="12"/>
  <c r="Q18" i="12"/>
  <c r="Q17" i="12"/>
  <c r="O14" i="12"/>
  <c r="N14" i="12"/>
  <c r="M14" i="12"/>
  <c r="M47" i="12" s="1"/>
  <c r="L14" i="12"/>
  <c r="L47" i="12" s="1"/>
  <c r="K14" i="12"/>
  <c r="K47" i="12" s="1"/>
  <c r="J14" i="12"/>
  <c r="J47" i="12" s="1"/>
  <c r="I14" i="12"/>
  <c r="I47" i="12" s="1"/>
  <c r="C14" i="12"/>
  <c r="C47" i="12" s="1"/>
  <c r="C48" i="12" s="1"/>
  <c r="Q13" i="12"/>
  <c r="Q12" i="12"/>
  <c r="G11" i="12"/>
  <c r="G14" i="12" s="1"/>
  <c r="G47" i="12" s="1"/>
  <c r="F11" i="12"/>
  <c r="F14" i="12" s="1"/>
  <c r="E11" i="12"/>
  <c r="E14" i="12" s="1"/>
  <c r="D11" i="12"/>
  <c r="Q9" i="12"/>
  <c r="Q8" i="12"/>
  <c r="Q7" i="12"/>
  <c r="Q6" i="12"/>
  <c r="P2" i="12"/>
  <c r="G11" i="2"/>
  <c r="G33" i="2"/>
  <c r="G11" i="10"/>
  <c r="G14" i="10" s="1"/>
  <c r="G36" i="10"/>
  <c r="G31" i="10"/>
  <c r="G31" i="2"/>
  <c r="G44" i="2"/>
  <c r="G41" i="2"/>
  <c r="G36" i="2"/>
  <c r="G27" i="10"/>
  <c r="G27" i="2"/>
  <c r="G34" i="10"/>
  <c r="F34" i="10"/>
  <c r="Q34" i="10"/>
  <c r="O45" i="10"/>
  <c r="N45" i="10"/>
  <c r="M45" i="10"/>
  <c r="L45" i="10"/>
  <c r="K45" i="10"/>
  <c r="J45" i="10"/>
  <c r="I45" i="10"/>
  <c r="H45" i="10"/>
  <c r="C45" i="10"/>
  <c r="Q44" i="10"/>
  <c r="Q43" i="10"/>
  <c r="Q42" i="10"/>
  <c r="Q41" i="10"/>
  <c r="D41" i="10"/>
  <c r="Q40" i="10"/>
  <c r="Q39" i="10"/>
  <c r="Q38" i="10"/>
  <c r="Q37" i="10"/>
  <c r="F36" i="10"/>
  <c r="E36" i="10"/>
  <c r="D36" i="10"/>
  <c r="Q35" i="10"/>
  <c r="E34" i="10"/>
  <c r="F33" i="10"/>
  <c r="E33" i="10"/>
  <c r="D33" i="10"/>
  <c r="Q32" i="10"/>
  <c r="F31" i="10"/>
  <c r="E31" i="10"/>
  <c r="Q30" i="10"/>
  <c r="Q29" i="10"/>
  <c r="Q28" i="10"/>
  <c r="F27" i="10"/>
  <c r="E27" i="10"/>
  <c r="D27" i="10"/>
  <c r="D45" i="10" s="1"/>
  <c r="Q26" i="10"/>
  <c r="Q25" i="10"/>
  <c r="Q24" i="10"/>
  <c r="Q23" i="10"/>
  <c r="F22" i="10"/>
  <c r="Q21" i="10"/>
  <c r="Q20" i="10"/>
  <c r="Q19" i="10"/>
  <c r="Q18" i="10"/>
  <c r="Q17" i="10"/>
  <c r="O14" i="10"/>
  <c r="O47" i="10" s="1"/>
  <c r="N14" i="10"/>
  <c r="N47" i="10" s="1"/>
  <c r="M14" i="10"/>
  <c r="M47" i="10" s="1"/>
  <c r="L14" i="10"/>
  <c r="K14" i="10"/>
  <c r="K47" i="10" s="1"/>
  <c r="J14" i="10"/>
  <c r="J47" i="10" s="1"/>
  <c r="I14" i="10"/>
  <c r="I47" i="10" s="1"/>
  <c r="H14" i="10"/>
  <c r="H47" i="10" s="1"/>
  <c r="C14" i="10"/>
  <c r="C47" i="10" s="1"/>
  <c r="C48" i="10" s="1"/>
  <c r="Q13" i="10"/>
  <c r="Q12" i="10"/>
  <c r="F11" i="10"/>
  <c r="F14" i="10" s="1"/>
  <c r="E11" i="10"/>
  <c r="E14" i="10" s="1"/>
  <c r="D11" i="10"/>
  <c r="D14" i="10" s="1"/>
  <c r="Q9" i="10"/>
  <c r="Q8" i="10"/>
  <c r="Q7" i="10"/>
  <c r="Q6" i="10"/>
  <c r="P2" i="10"/>
  <c r="F36" i="7"/>
  <c r="F36" i="2"/>
  <c r="F34" i="2"/>
  <c r="F33" i="2"/>
  <c r="F11" i="2"/>
  <c r="D2" i="21" l="1"/>
  <c r="E47" i="21"/>
  <c r="E48" i="21" s="1"/>
  <c r="Q47" i="21"/>
  <c r="E48" i="20"/>
  <c r="D2" i="20"/>
  <c r="Q45" i="20"/>
  <c r="Q47" i="20" s="1"/>
  <c r="D47" i="19"/>
  <c r="D48" i="19" s="1"/>
  <c r="Q14" i="19"/>
  <c r="Q47" i="19" s="1"/>
  <c r="E48" i="18"/>
  <c r="D2" i="18"/>
  <c r="Q47" i="18"/>
  <c r="J47" i="16"/>
  <c r="Q14" i="16"/>
  <c r="Q47" i="16" s="1"/>
  <c r="D2" i="16"/>
  <c r="E48" i="16"/>
  <c r="Q45" i="15"/>
  <c r="D47" i="15"/>
  <c r="D48" i="15" s="1"/>
  <c r="Q14" i="15"/>
  <c r="H47" i="15"/>
  <c r="H45" i="12"/>
  <c r="H47" i="12" s="1"/>
  <c r="Q27" i="12"/>
  <c r="Q31" i="12"/>
  <c r="Q11" i="12"/>
  <c r="F47" i="12"/>
  <c r="E45" i="12"/>
  <c r="D14" i="12"/>
  <c r="D47" i="12" s="1"/>
  <c r="D48" i="12" s="1"/>
  <c r="Q14" i="12"/>
  <c r="F45" i="10"/>
  <c r="F47" i="10" s="1"/>
  <c r="Q36" i="10"/>
  <c r="Q33" i="10"/>
  <c r="L47" i="10"/>
  <c r="Q31" i="10"/>
  <c r="Q27" i="10"/>
  <c r="G45" i="10"/>
  <c r="G47" i="10" s="1"/>
  <c r="Q14" i="10"/>
  <c r="D47" i="10"/>
  <c r="D48" i="10"/>
  <c r="E45" i="10"/>
  <c r="E47" i="10" s="1"/>
  <c r="Q22" i="10"/>
  <c r="Q11" i="10"/>
  <c r="F34" i="7"/>
  <c r="F22" i="2"/>
  <c r="F27" i="7"/>
  <c r="F27" i="2"/>
  <c r="F14" i="2"/>
  <c r="F11" i="7"/>
  <c r="F14" i="7"/>
  <c r="F31" i="7"/>
  <c r="F31" i="2"/>
  <c r="O45" i="7"/>
  <c r="N45" i="7"/>
  <c r="M45" i="7"/>
  <c r="L45" i="7"/>
  <c r="K45" i="7"/>
  <c r="J45" i="7"/>
  <c r="I45" i="7"/>
  <c r="H45" i="7"/>
  <c r="G45" i="7"/>
  <c r="C45" i="7"/>
  <c r="Q44" i="7"/>
  <c r="Q43" i="7"/>
  <c r="Q42" i="7"/>
  <c r="D41" i="7"/>
  <c r="Q41" i="7" s="1"/>
  <c r="Q40" i="7"/>
  <c r="Q39" i="7"/>
  <c r="Q38" i="7"/>
  <c r="Q37" i="7"/>
  <c r="E36" i="7"/>
  <c r="D36" i="7"/>
  <c r="Q35" i="7"/>
  <c r="E34" i="7"/>
  <c r="E33" i="7"/>
  <c r="D33" i="7"/>
  <c r="Q33" i="7" s="1"/>
  <c r="Q32" i="7"/>
  <c r="E31" i="7"/>
  <c r="Q30" i="7"/>
  <c r="Q29" i="7"/>
  <c r="Q28" i="7"/>
  <c r="E27" i="7"/>
  <c r="D27" i="7"/>
  <c r="Q26" i="7"/>
  <c r="Q25" i="7"/>
  <c r="Q24" i="7"/>
  <c r="Q23" i="7"/>
  <c r="Q22" i="7"/>
  <c r="Q21" i="7"/>
  <c r="Q20" i="7"/>
  <c r="Q19" i="7"/>
  <c r="Q18" i="7"/>
  <c r="Q17" i="7"/>
  <c r="O14" i="7"/>
  <c r="N14" i="7"/>
  <c r="N47" i="7" s="1"/>
  <c r="M14" i="7"/>
  <c r="L14" i="7"/>
  <c r="L47" i="7" s="1"/>
  <c r="K14" i="7"/>
  <c r="K47" i="7" s="1"/>
  <c r="J14" i="7"/>
  <c r="I14" i="7"/>
  <c r="I47" i="7" s="1"/>
  <c r="H14" i="7"/>
  <c r="G14" i="7"/>
  <c r="C14" i="7"/>
  <c r="Q13" i="7"/>
  <c r="Q12" i="7"/>
  <c r="E11" i="7"/>
  <c r="E14" i="7" s="1"/>
  <c r="D11" i="7"/>
  <c r="Q9" i="7"/>
  <c r="Q8" i="7"/>
  <c r="Q7" i="7"/>
  <c r="Q6" i="7"/>
  <c r="P2" i="7"/>
  <c r="E27" i="5"/>
  <c r="E27" i="2"/>
  <c r="E11" i="2"/>
  <c r="E14" i="2" s="1"/>
  <c r="E31" i="2"/>
  <c r="E33" i="2"/>
  <c r="E36" i="2"/>
  <c r="E11" i="5"/>
  <c r="E14" i="5" s="1"/>
  <c r="O45" i="5"/>
  <c r="N45" i="5"/>
  <c r="M45" i="5"/>
  <c r="L45" i="5"/>
  <c r="K45" i="5"/>
  <c r="J45" i="5"/>
  <c r="I45" i="5"/>
  <c r="H45" i="5"/>
  <c r="G45" i="5"/>
  <c r="F45" i="5"/>
  <c r="C45" i="5"/>
  <c r="Q44" i="5"/>
  <c r="Q43" i="5"/>
  <c r="Q42" i="5"/>
  <c r="D41" i="5"/>
  <c r="Q41" i="5" s="1"/>
  <c r="Q40" i="5"/>
  <c r="Q39" i="5"/>
  <c r="Q38" i="5"/>
  <c r="Q37" i="5"/>
  <c r="E36" i="5"/>
  <c r="D36" i="5"/>
  <c r="Q35" i="5"/>
  <c r="E34" i="5"/>
  <c r="D33" i="5"/>
  <c r="Q33" i="5" s="1"/>
  <c r="Q32" i="5"/>
  <c r="E31" i="5"/>
  <c r="Q31" i="5" s="1"/>
  <c r="Q30" i="5"/>
  <c r="Q29" i="5"/>
  <c r="Q28" i="5"/>
  <c r="D27" i="5"/>
  <c r="Q26" i="5"/>
  <c r="Q25" i="5"/>
  <c r="Q24" i="5"/>
  <c r="Q23" i="5"/>
  <c r="Q22" i="5"/>
  <c r="Q21" i="5"/>
  <c r="Q20" i="5"/>
  <c r="Q19" i="5"/>
  <c r="Q18" i="5"/>
  <c r="Q17" i="5"/>
  <c r="O14" i="5"/>
  <c r="O47" i="5" s="1"/>
  <c r="N14" i="5"/>
  <c r="N47" i="5" s="1"/>
  <c r="M14" i="5"/>
  <c r="M47" i="5" s="1"/>
  <c r="L14" i="5"/>
  <c r="L47" i="5" s="1"/>
  <c r="K14" i="5"/>
  <c r="J14" i="5"/>
  <c r="I14" i="5"/>
  <c r="H14" i="5"/>
  <c r="G14" i="5"/>
  <c r="G47" i="5" s="1"/>
  <c r="F14" i="5"/>
  <c r="C14" i="5"/>
  <c r="C47" i="5" s="1"/>
  <c r="C48" i="5" s="1"/>
  <c r="Q13" i="5"/>
  <c r="Q12" i="5"/>
  <c r="D11" i="5"/>
  <c r="Q9" i="5"/>
  <c r="Q8" i="5"/>
  <c r="Q7" i="5"/>
  <c r="Q6" i="5"/>
  <c r="P2" i="5"/>
  <c r="E34" i="2"/>
  <c r="D33" i="2"/>
  <c r="D11" i="2"/>
  <c r="D14" i="2" s="1"/>
  <c r="D27" i="2"/>
  <c r="D41" i="2"/>
  <c r="Q41" i="2" s="1"/>
  <c r="D36" i="2"/>
  <c r="D10" i="4"/>
  <c r="D13" i="4" s="1"/>
  <c r="O44" i="4"/>
  <c r="N44" i="4"/>
  <c r="M44" i="4"/>
  <c r="L44" i="4"/>
  <c r="K44" i="4"/>
  <c r="J44" i="4"/>
  <c r="I44" i="4"/>
  <c r="H44" i="4"/>
  <c r="G44" i="4"/>
  <c r="F44" i="4"/>
  <c r="E44" i="4"/>
  <c r="C44" i="4"/>
  <c r="Q43" i="4"/>
  <c r="Q42" i="4"/>
  <c r="Q41" i="4"/>
  <c r="Q40" i="4"/>
  <c r="Q39" i="4"/>
  <c r="Q38" i="4"/>
  <c r="Q37" i="4"/>
  <c r="Q36" i="4"/>
  <c r="D35" i="4"/>
  <c r="Q35" i="4" s="1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O13" i="4"/>
  <c r="O46" i="4" s="1"/>
  <c r="N13" i="4"/>
  <c r="N46" i="4" s="1"/>
  <c r="M13" i="4"/>
  <c r="M46" i="4" s="1"/>
  <c r="L13" i="4"/>
  <c r="L46" i="4" s="1"/>
  <c r="K13" i="4"/>
  <c r="K46" i="4" s="1"/>
  <c r="J13" i="4"/>
  <c r="J46" i="4" s="1"/>
  <c r="I13" i="4"/>
  <c r="H13" i="4"/>
  <c r="H46" i="4" s="1"/>
  <c r="G13" i="4"/>
  <c r="G46" i="4" s="1"/>
  <c r="F13" i="4"/>
  <c r="F46" i="4" s="1"/>
  <c r="E13" i="4"/>
  <c r="E46" i="4" s="1"/>
  <c r="C13" i="4"/>
  <c r="C46" i="4" s="1"/>
  <c r="C47" i="4" s="1"/>
  <c r="Q12" i="4"/>
  <c r="Q11" i="4"/>
  <c r="Q8" i="4"/>
  <c r="Q7" i="4"/>
  <c r="Q6" i="4"/>
  <c r="Q5" i="4"/>
  <c r="P1" i="4"/>
  <c r="O45" i="2"/>
  <c r="N45" i="2"/>
  <c r="M45" i="2"/>
  <c r="L45" i="2"/>
  <c r="K45" i="2"/>
  <c r="J45" i="2"/>
  <c r="I45" i="2"/>
  <c r="H45" i="2"/>
  <c r="G45" i="2"/>
  <c r="C45" i="2"/>
  <c r="Q44" i="2"/>
  <c r="Q43" i="2"/>
  <c r="Q42" i="2"/>
  <c r="Q40" i="2"/>
  <c r="Q39" i="2"/>
  <c r="Q38" i="2"/>
  <c r="Q37" i="2"/>
  <c r="Q35" i="2"/>
  <c r="Q32" i="2"/>
  <c r="Q30" i="2"/>
  <c r="Q29" i="2"/>
  <c r="Q28" i="2"/>
  <c r="Q26" i="2"/>
  <c r="Q25" i="2"/>
  <c r="Q24" i="2"/>
  <c r="Q23" i="2"/>
  <c r="Q22" i="2"/>
  <c r="Q21" i="2"/>
  <c r="Q20" i="2"/>
  <c r="Q19" i="2"/>
  <c r="Q18" i="2"/>
  <c r="Q17" i="2"/>
  <c r="O14" i="2"/>
  <c r="N14" i="2"/>
  <c r="M14" i="2"/>
  <c r="L14" i="2"/>
  <c r="K14" i="2"/>
  <c r="J14" i="2"/>
  <c r="I14" i="2"/>
  <c r="H14" i="2"/>
  <c r="G14" i="2"/>
  <c r="C14" i="2"/>
  <c r="Q13" i="2"/>
  <c r="Q12" i="2"/>
  <c r="Q9" i="2"/>
  <c r="Q8" i="2"/>
  <c r="Q7" i="2"/>
  <c r="Q6" i="2"/>
  <c r="P2" i="2"/>
  <c r="F48" i="21" l="1"/>
  <c r="E2" i="21"/>
  <c r="F48" i="20"/>
  <c r="E2" i="20"/>
  <c r="E48" i="19"/>
  <c r="D2" i="19"/>
  <c r="K47" i="2"/>
  <c r="F48" i="18"/>
  <c r="E2" i="18"/>
  <c r="E2" i="16"/>
  <c r="F48" i="16"/>
  <c r="Q47" i="15"/>
  <c r="E48" i="15"/>
  <c r="D2" i="15"/>
  <c r="Q45" i="12"/>
  <c r="Q47" i="12" s="1"/>
  <c r="D2" i="12"/>
  <c r="E47" i="12"/>
  <c r="E48" i="12" s="1"/>
  <c r="Q11" i="7"/>
  <c r="Q45" i="10"/>
  <c r="Q47" i="10" s="1"/>
  <c r="G47" i="2"/>
  <c r="D2" i="10"/>
  <c r="E48" i="10"/>
  <c r="F45" i="2"/>
  <c r="F47" i="2" s="1"/>
  <c r="Q34" i="7"/>
  <c r="J47" i="7"/>
  <c r="Q31" i="2"/>
  <c r="G47" i="7"/>
  <c r="O47" i="7"/>
  <c r="Q31" i="7"/>
  <c r="Q27" i="7"/>
  <c r="H47" i="7"/>
  <c r="K47" i="5"/>
  <c r="D14" i="7"/>
  <c r="Q14" i="7" s="1"/>
  <c r="M47" i="7"/>
  <c r="Q36" i="7"/>
  <c r="N47" i="2"/>
  <c r="F45" i="7"/>
  <c r="F47" i="7" s="1"/>
  <c r="D45" i="5"/>
  <c r="D45" i="7"/>
  <c r="E45" i="7"/>
  <c r="E47" i="7" s="1"/>
  <c r="C47" i="7"/>
  <c r="C48" i="7" s="1"/>
  <c r="F47" i="5"/>
  <c r="Q34" i="2"/>
  <c r="Q33" i="2"/>
  <c r="H47" i="2"/>
  <c r="Q27" i="2"/>
  <c r="C47" i="2"/>
  <c r="C48" i="2" s="1"/>
  <c r="M47" i="2"/>
  <c r="H47" i="5"/>
  <c r="Q36" i="2"/>
  <c r="I47" i="5"/>
  <c r="E45" i="5"/>
  <c r="Q45" i="5" s="1"/>
  <c r="O47" i="2"/>
  <c r="J47" i="5"/>
  <c r="Q36" i="5"/>
  <c r="Q27" i="5"/>
  <c r="Q11" i="5"/>
  <c r="Q34" i="5"/>
  <c r="D14" i="5"/>
  <c r="D44" i="4"/>
  <c r="Q44" i="4" s="1"/>
  <c r="I46" i="4"/>
  <c r="L47" i="2"/>
  <c r="E45" i="2"/>
  <c r="E47" i="2" s="1"/>
  <c r="I47" i="2"/>
  <c r="J47" i="2"/>
  <c r="D45" i="2"/>
  <c r="D47" i="2" s="1"/>
  <c r="Q10" i="4"/>
  <c r="Q13" i="4"/>
  <c r="Q11" i="2"/>
  <c r="Q14" i="2"/>
  <c r="G48" i="21" l="1"/>
  <c r="F2" i="21"/>
  <c r="G48" i="20"/>
  <c r="F2" i="20"/>
  <c r="F48" i="19"/>
  <c r="E2" i="19"/>
  <c r="G48" i="18"/>
  <c r="F2" i="18"/>
  <c r="G48" i="16"/>
  <c r="F2" i="16"/>
  <c r="E2" i="15"/>
  <c r="F48" i="15"/>
  <c r="E2" i="12"/>
  <c r="F48" i="12"/>
  <c r="D48" i="2"/>
  <c r="F48" i="10"/>
  <c r="E2" i="10"/>
  <c r="D46" i="4"/>
  <c r="D47" i="4" s="1"/>
  <c r="D1" i="4" s="1"/>
  <c r="Q45" i="7"/>
  <c r="Q47" i="7" s="1"/>
  <c r="D47" i="7"/>
  <c r="D48" i="7" s="1"/>
  <c r="E47" i="5"/>
  <c r="D47" i="5"/>
  <c r="D48" i="5" s="1"/>
  <c r="Q14" i="5"/>
  <c r="Q47" i="5" s="1"/>
  <c r="Q45" i="2"/>
  <c r="Q47" i="2" s="1"/>
  <c r="Q46" i="4"/>
  <c r="E47" i="4"/>
  <c r="F47" i="4" s="1"/>
  <c r="D2" i="2"/>
  <c r="E48" i="2"/>
  <c r="F48" i="2" s="1"/>
  <c r="H48" i="21" l="1"/>
  <c r="G2" i="21"/>
  <c r="H48" i="20"/>
  <c r="G2" i="20"/>
  <c r="G48" i="19"/>
  <c r="F2" i="19"/>
  <c r="H48" i="18"/>
  <c r="G2" i="18"/>
  <c r="G2" i="16"/>
  <c r="H48" i="16"/>
  <c r="G48" i="15"/>
  <c r="F2" i="15"/>
  <c r="G48" i="12"/>
  <c r="F2" i="12"/>
  <c r="G48" i="10"/>
  <c r="F2" i="10"/>
  <c r="D2" i="7"/>
  <c r="E48" i="7"/>
  <c r="D2" i="5"/>
  <c r="E48" i="5"/>
  <c r="E1" i="4"/>
  <c r="G47" i="4"/>
  <c r="F1" i="4"/>
  <c r="E2" i="2"/>
  <c r="G48" i="2"/>
  <c r="F2" i="2"/>
  <c r="I48" i="21" l="1"/>
  <c r="H2" i="21"/>
  <c r="I48" i="20"/>
  <c r="H2" i="20"/>
  <c r="H48" i="19"/>
  <c r="G2" i="19"/>
  <c r="I48" i="18"/>
  <c r="H2" i="18"/>
  <c r="H2" i="16"/>
  <c r="I48" i="16"/>
  <c r="H48" i="15"/>
  <c r="G2" i="15"/>
  <c r="H48" i="12"/>
  <c r="G2" i="12"/>
  <c r="G2" i="10"/>
  <c r="H48" i="10"/>
  <c r="E2" i="7"/>
  <c r="F48" i="7"/>
  <c r="F48" i="5"/>
  <c r="E2" i="5"/>
  <c r="G1" i="4"/>
  <c r="H47" i="4"/>
  <c r="G2" i="2"/>
  <c r="H48" i="2"/>
  <c r="J48" i="21" l="1"/>
  <c r="I2" i="21"/>
  <c r="J48" i="20"/>
  <c r="I2" i="20"/>
  <c r="I48" i="19"/>
  <c r="H2" i="19"/>
  <c r="J48" i="18"/>
  <c r="I2" i="18"/>
  <c r="I2" i="16"/>
  <c r="J48" i="16"/>
  <c r="H2" i="15"/>
  <c r="I48" i="15"/>
  <c r="H2" i="12"/>
  <c r="I48" i="12"/>
  <c r="H2" i="10"/>
  <c r="I48" i="10"/>
  <c r="G48" i="7"/>
  <c r="F2" i="7"/>
  <c r="G48" i="5"/>
  <c r="F2" i="5"/>
  <c r="H1" i="4"/>
  <c r="I47" i="4"/>
  <c r="H2" i="2"/>
  <c r="I48" i="2"/>
  <c r="K48" i="21" l="1"/>
  <c r="J2" i="21"/>
  <c r="K48" i="20"/>
  <c r="J2" i="20"/>
  <c r="I2" i="19"/>
  <c r="J48" i="19"/>
  <c r="K48" i="18"/>
  <c r="J2" i="18"/>
  <c r="J2" i="16"/>
  <c r="K48" i="16"/>
  <c r="I2" i="15"/>
  <c r="J48" i="15"/>
  <c r="I2" i="12"/>
  <c r="J48" i="12"/>
  <c r="I2" i="10"/>
  <c r="J48" i="10"/>
  <c r="J2" i="10" s="1"/>
  <c r="G2" i="7"/>
  <c r="H48" i="7"/>
  <c r="H48" i="5"/>
  <c r="G2" i="5"/>
  <c r="I1" i="4"/>
  <c r="J47" i="4"/>
  <c r="I2" i="2"/>
  <c r="J48" i="2"/>
  <c r="L48" i="21" l="1"/>
  <c r="K2" i="21"/>
  <c r="L48" i="20"/>
  <c r="K2" i="20"/>
  <c r="K48" i="19"/>
  <c r="J2" i="19"/>
  <c r="K2" i="18"/>
  <c r="L48" i="18"/>
  <c r="L48" i="16"/>
  <c r="K2" i="16"/>
  <c r="K48" i="15"/>
  <c r="J2" i="15"/>
  <c r="J2" i="12"/>
  <c r="K48" i="12"/>
  <c r="K48" i="10"/>
  <c r="H2" i="7"/>
  <c r="I48" i="7"/>
  <c r="H2" i="5"/>
  <c r="I48" i="5"/>
  <c r="J1" i="4"/>
  <c r="K47" i="4"/>
  <c r="J2" i="2"/>
  <c r="K48" i="2"/>
  <c r="L2" i="21" l="1"/>
  <c r="M48" i="21"/>
  <c r="M48" i="20"/>
  <c r="L2" i="20"/>
  <c r="L48" i="19"/>
  <c r="K2" i="19"/>
  <c r="M48" i="18"/>
  <c r="L2" i="18"/>
  <c r="L2" i="16"/>
  <c r="M48" i="16"/>
  <c r="L48" i="15"/>
  <c r="K2" i="15"/>
  <c r="K2" i="12"/>
  <c r="L48" i="12"/>
  <c r="K2" i="10"/>
  <c r="L48" i="10"/>
  <c r="J48" i="7"/>
  <c r="I2" i="7"/>
  <c r="I2" i="5"/>
  <c r="J48" i="5"/>
  <c r="K1" i="4"/>
  <c r="L47" i="4"/>
  <c r="K2" i="2"/>
  <c r="L48" i="2"/>
  <c r="L2" i="2" s="1"/>
  <c r="N48" i="21" l="1"/>
  <c r="M2" i="21"/>
  <c r="N48" i="20"/>
  <c r="M2" i="20"/>
  <c r="M48" i="19"/>
  <c r="L2" i="19"/>
  <c r="M2" i="18"/>
  <c r="N48" i="18"/>
  <c r="M2" i="16"/>
  <c r="N48" i="16"/>
  <c r="M48" i="15"/>
  <c r="L2" i="15"/>
  <c r="L2" i="12"/>
  <c r="M48" i="12"/>
  <c r="L2" i="10"/>
  <c r="M48" i="10"/>
  <c r="K48" i="7"/>
  <c r="J2" i="7"/>
  <c r="J2" i="5"/>
  <c r="K48" i="5"/>
  <c r="L1" i="4"/>
  <c r="M47" i="4"/>
  <c r="M48" i="2"/>
  <c r="O48" i="21" l="1"/>
  <c r="O2" i="21" s="1"/>
  <c r="N2" i="21"/>
  <c r="O48" i="20"/>
  <c r="O2" i="20" s="1"/>
  <c r="N2" i="20"/>
  <c r="N48" i="19"/>
  <c r="M2" i="19"/>
  <c r="O48" i="18"/>
  <c r="O2" i="18" s="1"/>
  <c r="N2" i="18"/>
  <c r="O48" i="16"/>
  <c r="O2" i="16" s="1"/>
  <c r="N2" i="16"/>
  <c r="M2" i="15"/>
  <c r="N48" i="15"/>
  <c r="N48" i="12"/>
  <c r="M2" i="12"/>
  <c r="N48" i="10"/>
  <c r="M2" i="10"/>
  <c r="L48" i="7"/>
  <c r="K2" i="7"/>
  <c r="K2" i="5"/>
  <c r="L48" i="5"/>
  <c r="M1" i="4"/>
  <c r="N47" i="4"/>
  <c r="N48" i="2"/>
  <c r="M2" i="2"/>
  <c r="O48" i="19" l="1"/>
  <c r="O2" i="19" s="1"/>
  <c r="N2" i="19"/>
  <c r="O48" i="15"/>
  <c r="O2" i="15" s="1"/>
  <c r="N2" i="15"/>
  <c r="O48" i="12"/>
  <c r="O2" i="12" s="1"/>
  <c r="N2" i="12"/>
  <c r="O48" i="10"/>
  <c r="O2" i="10" s="1"/>
  <c r="N2" i="10"/>
  <c r="L2" i="7"/>
  <c r="M48" i="7"/>
  <c r="L2" i="5"/>
  <c r="M48" i="5"/>
  <c r="O47" i="4"/>
  <c r="O1" i="4" s="1"/>
  <c r="N1" i="4"/>
  <c r="O48" i="2"/>
  <c r="O2" i="2" s="1"/>
  <c r="N2" i="2"/>
  <c r="M2" i="7" l="1"/>
  <c r="N48" i="7"/>
  <c r="N48" i="5"/>
  <c r="M2" i="5"/>
  <c r="O48" i="7" l="1"/>
  <c r="O2" i="7" s="1"/>
  <c r="N2" i="7"/>
  <c r="O48" i="5"/>
  <c r="O2" i="5" s="1"/>
  <c r="N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B22" authorId="0" shapeId="0" xr:uid="{D6D13727-BC1D-4CDF-A52C-7398CC8D33A8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en tre le 31 et le 02 du M+1</t>
        </r>
      </text>
    </comment>
    <comment ref="B40" authorId="0" shapeId="0" xr:uid="{2FB56020-960D-4CA2-B6F8-D8F32FB85ACB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entra le 16 et le 17 du M+1
</t>
        </r>
      </text>
    </comment>
    <comment ref="B41" authorId="0" shapeId="0" xr:uid="{1D493C9B-C4CF-4C34-8C4D-96699635A77F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Trimestriel entre le 24 et le 25 du M+1</t>
        </r>
      </text>
    </comment>
    <comment ref="B43" authorId="0" shapeId="0" xr:uid="{57303AB7-98EC-4B4A-BDA4-8BCE98040FD5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Paiement Trimestriel entre le 28 et le 02 
</t>
        </r>
      </text>
    </comment>
    <comment ref="B44" authorId="0" shapeId="0" xr:uid="{B14278AC-459B-4032-8B61-69E63D1043F2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entre le 21 et le 24 de chaque mois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B22" authorId="0" shapeId="0" xr:uid="{811667E8-173F-4AEC-9FFD-16A37AF81F68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en tre le 31 et le 02 du M+1</t>
        </r>
      </text>
    </comment>
    <comment ref="B40" authorId="0" shapeId="0" xr:uid="{C05573E5-E7B5-4484-B816-A50A6626B54E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entra le 16 et le 17 du M+1
</t>
        </r>
      </text>
    </comment>
    <comment ref="B41" authorId="0" shapeId="0" xr:uid="{12CFDE83-FC05-4D5B-93EC-1A13AF7C3895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Trimestriel entre le 24 et le 25 du M+1</t>
        </r>
      </text>
    </comment>
    <comment ref="B43" authorId="0" shapeId="0" xr:uid="{047424F3-2A6C-4A76-90B5-28E8FC6ABE5B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Paiement Trimestriel entre le 28 et le 02 
</t>
        </r>
      </text>
    </comment>
    <comment ref="B44" authorId="0" shapeId="0" xr:uid="{76B2BCAA-27A9-45AE-8783-9E8D44C0C774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entre le 21 et le 24 de chaque mois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B22" authorId="0" shapeId="0" xr:uid="{BA63CE7A-9B32-4C99-9E60-6B39A5A6A272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en tre le 31 et le 02 du M+1</t>
        </r>
      </text>
    </comment>
    <comment ref="B40" authorId="0" shapeId="0" xr:uid="{309C9A37-7A98-447E-981B-168BF6771DB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entra le 16 et le 17 du M+1
</t>
        </r>
      </text>
    </comment>
    <comment ref="B41" authorId="0" shapeId="0" xr:uid="{602CBE5A-01BB-409A-B456-BA36E870CBED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Trimestriel entre le 24 et le 25 du M+1</t>
        </r>
      </text>
    </comment>
    <comment ref="B43" authorId="0" shapeId="0" xr:uid="{B58086C5-B2B6-42D1-8AFE-181DF19F3F11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Paiement Trimestriel entre le 28 et le 02 
</t>
        </r>
      </text>
    </comment>
    <comment ref="B44" authorId="0" shapeId="0" xr:uid="{BC896063-C5F4-4E28-A446-6FD6FF33D3B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entre le 21 et le 24 de chaque mois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B22" authorId="0" shapeId="0" xr:uid="{DB8BB036-52E3-4D4B-B212-D6DE67C49048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en tre le 31 et le 02 du M+1</t>
        </r>
      </text>
    </comment>
    <comment ref="B40" authorId="0" shapeId="0" xr:uid="{544CEE96-1C22-402F-8160-2793DDE9FEC8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entra le 16 et le 17 du M+1
</t>
        </r>
      </text>
    </comment>
    <comment ref="B41" authorId="0" shapeId="0" xr:uid="{F76CDE0D-F2AA-464F-8C7B-D8C51D30E127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Trimestriel entre le 24 et le 25 du M+1</t>
        </r>
      </text>
    </comment>
    <comment ref="B43" authorId="0" shapeId="0" xr:uid="{EB09544B-BCFC-4403-94E2-998BEB482F3A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Paiement Trimestriel entre le 28 et le 02 
</t>
        </r>
      </text>
    </comment>
    <comment ref="B44" authorId="0" shapeId="0" xr:uid="{AB500635-FB40-44A6-A6CE-E11E0456691D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entre le 21 et le 24 de chaque mois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D10" authorId="0" shapeId="0" xr:uid="{8611C1E4-9360-49C4-8DDB-7AEB29E31AE2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Somme factures payés + Total factures qui seront réglé avant le 30/01/2023
</t>
        </r>
      </text>
    </comment>
    <comment ref="D51" authorId="0" shapeId="0" xr:uid="{5DD2A83C-0563-4833-89AD-6747D74E6C74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Tréso créditaire au 31/01/2023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B22" authorId="0" shapeId="0" xr:uid="{E7A001E2-F54D-4AF2-B86C-42098B278FC8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en tre le 31 et le 02 du M+1</t>
        </r>
      </text>
    </comment>
    <comment ref="B40" authorId="0" shapeId="0" xr:uid="{18926A67-90A5-43E4-A778-4A306DBA293D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entra le 16 et le 17 du M+1
</t>
        </r>
      </text>
    </comment>
    <comment ref="B41" authorId="0" shapeId="0" xr:uid="{11B5F5AA-EEAD-4111-AD0A-44DF42DB83E8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Trimestriel entre le 24 et le 25 du M+1</t>
        </r>
      </text>
    </comment>
    <comment ref="B43" authorId="0" shapeId="0" xr:uid="{EF903919-76D1-4326-8093-A6CFF6B32E35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Paiement Trimestriel entre le 28 et le 02 
</t>
        </r>
      </text>
    </comment>
    <comment ref="B44" authorId="0" shapeId="0" xr:uid="{1111A601-F78A-4746-B984-E810781510E4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entre le 21 et le 24 de chaque mois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B22" authorId="0" shapeId="0" xr:uid="{2834D398-9192-4ED9-9EDF-BB711DEE8419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en tre le 31 et le 02 du M+1</t>
        </r>
      </text>
    </comment>
    <comment ref="B40" authorId="0" shapeId="0" xr:uid="{7F8F64BD-E5CC-4EBB-AC93-BB4D029F39E4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entra le 16 et le 17 du M+1
</t>
        </r>
      </text>
    </comment>
    <comment ref="B41" authorId="0" shapeId="0" xr:uid="{CBFFB659-5315-40D6-A23D-7B326356BA77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Trimestriel entre le 24 et le 25 du M+1</t>
        </r>
      </text>
    </comment>
    <comment ref="B43" authorId="0" shapeId="0" xr:uid="{481380F7-C80A-4736-89A9-F39E02ED0B84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Paiement Trimestriel entre le 28 et le 02 
</t>
        </r>
      </text>
    </comment>
    <comment ref="B44" authorId="0" shapeId="0" xr:uid="{082A8AD7-55CF-41AE-B1EC-2DA9A9FA3422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entre le 21 et le 24 de chaque mois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B22" authorId="0" shapeId="0" xr:uid="{481F6386-FAC8-4288-9FA0-018D898FD258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en tre le 31 et le 02 du M+1</t>
        </r>
      </text>
    </comment>
    <comment ref="B40" authorId="0" shapeId="0" xr:uid="{63453FE4-0D74-406D-9632-029BC69E71A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entra le 16 et le 17 du M+1
</t>
        </r>
      </text>
    </comment>
    <comment ref="B41" authorId="0" shapeId="0" xr:uid="{B960F480-3EFF-4041-847D-4795A9C0EEB2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Trimestriel entre le 24 et le 25 du M+1</t>
        </r>
      </text>
    </comment>
    <comment ref="B43" authorId="0" shapeId="0" xr:uid="{F81F4FFD-507E-41DD-8A4A-9BBD82EA5845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Paiement Trimestriel entre le 28 et le 02 
</t>
        </r>
      </text>
    </comment>
    <comment ref="B44" authorId="0" shapeId="0" xr:uid="{85EB427C-DC97-40BD-AEF2-28B85E738A87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entre le 21 et le 24 de chaque mois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B22" authorId="0" shapeId="0" xr:uid="{80A79FA7-B244-4CA1-A59E-B4D2F63D98E7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en tre le 31 et le 02 du M+1</t>
        </r>
      </text>
    </comment>
    <comment ref="B40" authorId="0" shapeId="0" xr:uid="{613CB1C3-B8E4-4267-B0E9-E3C8F39A279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entra le 16 et le 17 du M+1
</t>
        </r>
      </text>
    </comment>
    <comment ref="B41" authorId="0" shapeId="0" xr:uid="{4114BAEC-B757-4581-B628-2BF3348E1B2C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Trimestriel entre le 24 et le 25 du M+1</t>
        </r>
      </text>
    </comment>
    <comment ref="B43" authorId="0" shapeId="0" xr:uid="{6D615394-DC69-46A0-A11D-D8591DC1EAF7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Paiement Trimestriel entre le 28 et le 02 
</t>
        </r>
      </text>
    </comment>
    <comment ref="B44" authorId="0" shapeId="0" xr:uid="{3EE4F3D3-C49A-4EF8-B44C-382029F0F8B5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entre le 21 et le 24 de chaque mois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B22" authorId="0" shapeId="0" xr:uid="{025053EE-615C-4B7C-AEB5-2349F12CE1E2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en tre le 31 et le 02 du M+1</t>
        </r>
      </text>
    </comment>
    <comment ref="B40" authorId="0" shapeId="0" xr:uid="{FF247B8F-A011-424A-B62A-A36282867758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entra le 16 et le 17 du M+1
</t>
        </r>
      </text>
    </comment>
    <comment ref="B41" authorId="0" shapeId="0" xr:uid="{09CB38C9-265C-489F-8B0A-051D4495A912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Trimestriel entre le 24 et le 25 du M+1</t>
        </r>
      </text>
    </comment>
    <comment ref="B43" authorId="0" shapeId="0" xr:uid="{07F1E572-0D54-4D01-B525-866F55BE78FA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Paiement Trimestriel entre le 28 et le 02 
</t>
        </r>
      </text>
    </comment>
    <comment ref="B44" authorId="0" shapeId="0" xr:uid="{C9C4C30D-B31A-455F-8CB6-9A6856100CDA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entre le 21 et le 24 de chaque mois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B22" authorId="0" shapeId="0" xr:uid="{28EBE493-CBF9-4AAE-87BD-00E4C4171A11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en tre le 31 et le 02 du M+1</t>
        </r>
      </text>
    </comment>
    <comment ref="B40" authorId="0" shapeId="0" xr:uid="{F715AE2E-4F96-4DF4-9B76-88EF04E5A8CA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entra le 16 et le 17 du M+1
</t>
        </r>
      </text>
    </comment>
    <comment ref="B41" authorId="0" shapeId="0" xr:uid="{8E95D677-7175-44A4-B82F-E10FE94A84DB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Trimestriel entre le 24 et le 25 du M+1</t>
        </r>
      </text>
    </comment>
    <comment ref="B43" authorId="0" shapeId="0" xr:uid="{128B436A-1D82-46A5-BA6B-CF8B5B87AAFA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Paiement Trimestriel entre le 28 et le 02 
</t>
        </r>
      </text>
    </comment>
    <comment ref="B44" authorId="0" shapeId="0" xr:uid="{0DE54C99-EABF-42AA-A208-CBD5B28F6CF9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entre le 21 et le 24 de chaque mois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B22" authorId="0" shapeId="0" xr:uid="{D2E6F11F-FAF9-466A-B353-0F2E9BFFB724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en tre le 31 et le 02 du M+1</t>
        </r>
      </text>
    </comment>
    <comment ref="B40" authorId="0" shapeId="0" xr:uid="{8006640A-BDF4-443C-9650-5E070E96B4EE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entra le 16 et le 17 du M+1
</t>
        </r>
      </text>
    </comment>
    <comment ref="B41" authorId="0" shapeId="0" xr:uid="{771646B9-5957-42D1-ACEF-5AE1B0F1712A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Trimestriel entre le 24 et le 25 du M+1</t>
        </r>
      </text>
    </comment>
    <comment ref="B43" authorId="0" shapeId="0" xr:uid="{B297239B-7116-4AEF-A682-FC114EC3E47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Paiement Trimestriel entre le 28 et le 02 
</t>
        </r>
      </text>
    </comment>
    <comment ref="B44" authorId="0" shapeId="0" xr:uid="{69CAFD6A-1D21-4E0E-A4F1-9B4E4009236C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entre le 21 et le 24 de chaque mois</t>
        </r>
      </text>
    </comment>
  </commentList>
</comments>
</file>

<file path=xl/sharedStrings.xml><?xml version="1.0" encoding="utf-8"?>
<sst xmlns="http://schemas.openxmlformats.org/spreadsheetml/2006/main" count="648" uniqueCount="63">
  <si>
    <t>MOIS</t>
  </si>
  <si>
    <t>Début d'activité</t>
  </si>
  <si>
    <t>octobre</t>
  </si>
  <si>
    <t>novembre</t>
  </si>
  <si>
    <t>décembre</t>
  </si>
  <si>
    <t>TOTAL</t>
  </si>
  <si>
    <t>Entrées</t>
  </si>
  <si>
    <t xml:space="preserve">Trèsorerie en début de mois </t>
  </si>
  <si>
    <t>Prêt bancaire</t>
  </si>
  <si>
    <t>Capital apporté</t>
  </si>
  <si>
    <t>TVA récupérée</t>
  </si>
  <si>
    <t>Règlement factures</t>
  </si>
  <si>
    <t>Autres</t>
  </si>
  <si>
    <t>Remboursement Chomage Partiel</t>
  </si>
  <si>
    <t>Total entrées</t>
  </si>
  <si>
    <t xml:space="preserve">Sorties </t>
  </si>
  <si>
    <t>Frais</t>
  </si>
  <si>
    <t>Hiscox</t>
  </si>
  <si>
    <t>CMSM</t>
  </si>
  <si>
    <t>Amundi</t>
  </si>
  <si>
    <t>Frais Comptable</t>
  </si>
  <si>
    <t>Boondmanager</t>
  </si>
  <si>
    <t>Banque</t>
  </si>
  <si>
    <t>Crédit</t>
  </si>
  <si>
    <t>Remboursement Capital apporté</t>
  </si>
  <si>
    <t>CB</t>
  </si>
  <si>
    <t>Impots</t>
  </si>
  <si>
    <t>TVA</t>
  </si>
  <si>
    <t>Fournissuers</t>
  </si>
  <si>
    <t>Salaires</t>
  </si>
  <si>
    <t>Frais Km</t>
  </si>
  <si>
    <t>Acomptes</t>
  </si>
  <si>
    <t>Achats</t>
  </si>
  <si>
    <t>Cooptation</t>
  </si>
  <si>
    <t>Intéressement</t>
  </si>
  <si>
    <t>Urssaf</t>
  </si>
  <si>
    <t>Retraite</t>
  </si>
  <si>
    <t>Prévoyance</t>
  </si>
  <si>
    <t>Mutuelle</t>
  </si>
  <si>
    <t>PAS</t>
  </si>
  <si>
    <t>Total sorties</t>
  </si>
  <si>
    <t>Différence entrées/sorties</t>
  </si>
  <si>
    <t>Trésorerie</t>
  </si>
  <si>
    <t>Suivi de trésorerie 2023</t>
  </si>
  <si>
    <t>Janvier</t>
  </si>
  <si>
    <t>Février</t>
  </si>
  <si>
    <t>Mars</t>
  </si>
  <si>
    <t xml:space="preserve">Avril </t>
  </si>
  <si>
    <t>Mai</t>
  </si>
  <si>
    <t>Juin</t>
  </si>
  <si>
    <t>Juillet</t>
  </si>
  <si>
    <t>Aout</t>
  </si>
  <si>
    <t>Séptembre</t>
  </si>
  <si>
    <t>Dernière Opération inscrite 20/02/2023: Règlement facture SIJO : 14784,000 €</t>
  </si>
  <si>
    <t>Dernière Opération inscrite 31/03/2023: Remboursement Achat Athmane BEKKA : 31,83€</t>
  </si>
  <si>
    <t>€</t>
  </si>
  <si>
    <t>Dernière Opération inscrite 27/04/2023: Règlement facture AUBAY : 12 000€</t>
  </si>
  <si>
    <t>Dernière Opération inscrite 16/05/2023: Règlement facture SULLY GROUP : 11 352€</t>
  </si>
  <si>
    <t>Dernière Opération inscrite 06/07/2023: Prélévement Carte bancaire "GVDJ TECHNOLOGIES" : 11 400.00€</t>
  </si>
  <si>
    <t>Dernière Opération inscrite 31/07/2023: Prélévement Abonnement " : 0.30€</t>
  </si>
  <si>
    <t>Dernière Opération inscrite 21/08/2023: Régmement Facture "WYNSYS" : 21 027,00€</t>
  </si>
  <si>
    <t>Dernière Opération inscrite 05/09/2023: Régmement Facture "ARIA" : 12 348,00€</t>
  </si>
  <si>
    <t>Dernière Opération inscrite 03/11/2023: Régmement Facture "SAPIENS Group" : 3 816,00€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</si>
</sst>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B5C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44" fontId="4" fillId="2" borderId="0" xfId="1" applyFont="1" applyFill="1" applyAlignment="1">
      <alignment vertical="center"/>
    </xf>
    <xf numFmtId="44" fontId="0" fillId="2" borderId="0" xfId="1" applyFont="1" applyFill="1"/>
    <xf numFmtId="0" fontId="0" fillId="2" borderId="0" xfId="0" applyFill="1"/>
    <xf numFmtId="0" fontId="5" fillId="3" borderId="2" xfId="0" applyFont="1" applyFill="1" applyBorder="1" applyAlignment="1">
      <alignment horizontal="center" vertical="center"/>
    </xf>
    <xf numFmtId="44" fontId="5" fillId="3" borderId="3" xfId="1" applyFont="1" applyFill="1" applyBorder="1" applyAlignment="1">
      <alignment horizontal="center" vertical="center"/>
    </xf>
    <xf numFmtId="44" fontId="5" fillId="3" borderId="4" xfId="1" applyFont="1" applyFill="1" applyBorder="1" applyAlignment="1">
      <alignment horizontal="center" vertical="center"/>
    </xf>
    <xf numFmtId="44" fontId="5" fillId="3" borderId="5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44" fontId="5" fillId="3" borderId="6" xfId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4" borderId="7" xfId="0" applyFont="1" applyFill="1" applyBorder="1"/>
    <xf numFmtId="44" fontId="0" fillId="4" borderId="3" xfId="1" applyFont="1" applyFill="1" applyBorder="1"/>
    <xf numFmtId="44" fontId="0" fillId="4" borderId="8" xfId="1" applyFont="1" applyFill="1" applyBorder="1"/>
    <xf numFmtId="0" fontId="0" fillId="4" borderId="3" xfId="0" applyFill="1" applyBorder="1"/>
    <xf numFmtId="44" fontId="0" fillId="4" borderId="6" xfId="1" applyFont="1" applyFill="1" applyBorder="1"/>
    <xf numFmtId="0" fontId="0" fillId="0" borderId="9" xfId="0" applyBorder="1" applyProtection="1">
      <protection locked="0"/>
    </xf>
    <xf numFmtId="44" fontId="0" fillId="2" borderId="10" xfId="1" applyFont="1" applyFill="1" applyBorder="1"/>
    <xf numFmtId="44" fontId="0" fillId="2" borderId="11" xfId="1" applyFont="1" applyFill="1" applyBorder="1"/>
    <xf numFmtId="2" fontId="0" fillId="0" borderId="0" xfId="0" applyNumberFormat="1"/>
    <xf numFmtId="44" fontId="2" fillId="2" borderId="12" xfId="1" applyFont="1" applyFill="1" applyBorder="1"/>
    <xf numFmtId="0" fontId="0" fillId="0" borderId="13" xfId="0" applyBorder="1" applyProtection="1">
      <protection locked="0"/>
    </xf>
    <xf numFmtId="44" fontId="0" fillId="2" borderId="15" xfId="1" applyFont="1" applyFill="1" applyBorder="1"/>
    <xf numFmtId="44" fontId="0" fillId="2" borderId="16" xfId="1" applyFont="1" applyFill="1" applyBorder="1"/>
    <xf numFmtId="44" fontId="2" fillId="2" borderId="17" xfId="1" applyFont="1" applyFill="1" applyBorder="1"/>
    <xf numFmtId="0" fontId="0" fillId="0" borderId="18" xfId="0" applyBorder="1" applyProtection="1">
      <protection locked="0"/>
    </xf>
    <xf numFmtId="44" fontId="0" fillId="2" borderId="19" xfId="1" applyFont="1" applyFill="1" applyBorder="1"/>
    <xf numFmtId="44" fontId="0" fillId="2" borderId="20" xfId="1" applyFont="1" applyFill="1" applyBorder="1"/>
    <xf numFmtId="44" fontId="2" fillId="2" borderId="21" xfId="1" applyFont="1" applyFill="1" applyBorder="1"/>
    <xf numFmtId="0" fontId="0" fillId="0" borderId="22" xfId="0" applyBorder="1" applyProtection="1">
      <protection locked="0"/>
    </xf>
    <xf numFmtId="44" fontId="0" fillId="2" borderId="23" xfId="1" applyFont="1" applyFill="1" applyBorder="1"/>
    <xf numFmtId="44" fontId="0" fillId="2" borderId="24" xfId="1" applyFont="1" applyFill="1" applyBorder="1"/>
    <xf numFmtId="44" fontId="2" fillId="2" borderId="25" xfId="1" applyFont="1" applyFill="1" applyBorder="1"/>
    <xf numFmtId="0" fontId="6" fillId="5" borderId="2" xfId="0" applyFont="1" applyFill="1" applyBorder="1" applyAlignment="1">
      <alignment vertical="center"/>
    </xf>
    <xf numFmtId="44" fontId="0" fillId="5" borderId="26" xfId="1" applyFont="1" applyFill="1" applyBorder="1" applyAlignment="1">
      <alignment vertical="center"/>
    </xf>
    <xf numFmtId="2" fontId="0" fillId="5" borderId="3" xfId="0" applyNumberFormat="1" applyFill="1" applyBorder="1" applyAlignment="1">
      <alignment vertical="center"/>
    </xf>
    <xf numFmtId="44" fontId="2" fillId="5" borderId="6" xfId="1" applyFont="1" applyFill="1" applyBorder="1" applyAlignment="1">
      <alignment vertical="center"/>
    </xf>
    <xf numFmtId="0" fontId="6" fillId="6" borderId="7" xfId="0" applyFont="1" applyFill="1" applyBorder="1"/>
    <xf numFmtId="44" fontId="0" fillId="6" borderId="3" xfId="1" applyFont="1" applyFill="1" applyBorder="1"/>
    <xf numFmtId="0" fontId="0" fillId="6" borderId="9" xfId="0" applyFill="1" applyBorder="1" applyProtection="1">
      <protection locked="0"/>
    </xf>
    <xf numFmtId="4" fontId="0" fillId="0" borderId="0" xfId="0" applyNumberFormat="1"/>
    <xf numFmtId="44" fontId="2" fillId="0" borderId="27" xfId="1" applyFont="1" applyBorder="1"/>
    <xf numFmtId="0" fontId="0" fillId="6" borderId="13" xfId="0" applyFill="1" applyBorder="1" applyProtection="1">
      <protection locked="0"/>
    </xf>
    <xf numFmtId="44" fontId="7" fillId="0" borderId="15" xfId="1" applyFont="1" applyFill="1" applyBorder="1" applyProtection="1">
      <protection locked="0"/>
    </xf>
    <xf numFmtId="0" fontId="0" fillId="7" borderId="13" xfId="0" applyFill="1" applyBorder="1" applyProtection="1">
      <protection locked="0"/>
    </xf>
    <xf numFmtId="0" fontId="0" fillId="7" borderId="18" xfId="0" applyFill="1" applyBorder="1" applyProtection="1">
      <protection locked="0"/>
    </xf>
    <xf numFmtId="0" fontId="0" fillId="8" borderId="13" xfId="0" applyFill="1" applyBorder="1" applyProtection="1">
      <protection locked="0"/>
    </xf>
    <xf numFmtId="0" fontId="0" fillId="9" borderId="13" xfId="0" applyFill="1" applyBorder="1" applyProtection="1">
      <protection locked="0"/>
    </xf>
    <xf numFmtId="0" fontId="0" fillId="9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10" borderId="18" xfId="0" applyFill="1" applyBorder="1" applyProtection="1">
      <protection locked="0"/>
    </xf>
    <xf numFmtId="0" fontId="0" fillId="10" borderId="9" xfId="0" applyFill="1" applyBorder="1" applyProtection="1">
      <protection locked="0"/>
    </xf>
    <xf numFmtId="0" fontId="6" fillId="5" borderId="2" xfId="0" applyFont="1" applyFill="1" applyBorder="1"/>
    <xf numFmtId="44" fontId="2" fillId="5" borderId="4" xfId="1" applyFont="1" applyFill="1" applyBorder="1"/>
    <xf numFmtId="4" fontId="0" fillId="5" borderId="3" xfId="0" applyNumberFormat="1" applyFill="1" applyBorder="1"/>
    <xf numFmtId="44" fontId="2" fillId="5" borderId="6" xfId="1" applyFont="1" applyFill="1" applyBorder="1"/>
    <xf numFmtId="0" fontId="2" fillId="0" borderId="28" xfId="0" applyFont="1" applyBorder="1"/>
    <xf numFmtId="44" fontId="2" fillId="0" borderId="0" xfId="1" applyFont="1" applyFill="1" applyBorder="1"/>
    <xf numFmtId="44" fontId="8" fillId="3" borderId="23" xfId="1" applyFont="1" applyFill="1" applyBorder="1"/>
    <xf numFmtId="4" fontId="9" fillId="3" borderId="23" xfId="0" applyNumberFormat="1" applyFont="1" applyFill="1" applyBorder="1"/>
    <xf numFmtId="44" fontId="2" fillId="5" borderId="23" xfId="1" applyFont="1" applyFill="1" applyBorder="1"/>
    <xf numFmtId="44" fontId="3" fillId="0" borderId="0" xfId="1" applyFont="1" applyBorder="1" applyAlignment="1">
      <alignment horizontal="left" vertical="center"/>
    </xf>
    <xf numFmtId="44" fontId="0" fillId="6" borderId="31" xfId="1" applyFont="1" applyFill="1" applyBorder="1"/>
    <xf numFmtId="0" fontId="10" fillId="3" borderId="29" xfId="0" applyFont="1" applyFill="1" applyBorder="1"/>
    <xf numFmtId="0" fontId="10" fillId="3" borderId="30" xfId="0" applyFont="1" applyFill="1" applyBorder="1"/>
    <xf numFmtId="0" fontId="0" fillId="2" borderId="32" xfId="0" applyFill="1" applyBorder="1" applyProtection="1">
      <protection locked="0"/>
    </xf>
    <xf numFmtId="44" fontId="7" fillId="0" borderId="14" xfId="1" applyFont="1" applyFill="1" applyBorder="1" applyProtection="1">
      <protection locked="0"/>
    </xf>
    <xf numFmtId="44" fontId="7" fillId="0" borderId="33" xfId="1" applyFont="1" applyFill="1" applyBorder="1" applyProtection="1">
      <protection locked="0"/>
    </xf>
    <xf numFmtId="44" fontId="7" fillId="11" borderId="15" xfId="1" applyFont="1" applyFill="1" applyBorder="1" applyProtection="1">
      <protection locked="0"/>
    </xf>
    <xf numFmtId="44" fontId="0" fillId="4" borderId="0" xfId="1" applyFont="1" applyFill="1"/>
    <xf numFmtId="14" fontId="0" fillId="2" borderId="0" xfId="1" applyNumberFormat="1" applyFont="1" applyFill="1"/>
    <xf numFmtId="0" fontId="13" fillId="2" borderId="0" xfId="0" applyFont="1" applyFill="1"/>
    <xf numFmtId="44" fontId="7" fillId="2" borderId="15" xfId="1" applyFont="1" applyFill="1" applyBorder="1" applyProtection="1">
      <protection locked="0"/>
    </xf>
    <xf numFmtId="44" fontId="0" fillId="12" borderId="11" xfId="1" applyFont="1" applyFill="1" applyBorder="1"/>
    <xf numFmtId="44" fontId="0" fillId="11" borderId="10" xfId="1" applyFont="1" applyFill="1" applyBorder="1"/>
    <xf numFmtId="44" fontId="0" fillId="0" borderId="11" xfId="1" applyFont="1" applyFill="1" applyBorder="1"/>
    <xf numFmtId="6" fontId="13" fillId="2" borderId="0" xfId="1" applyNumberFormat="1" applyFont="1" applyFill="1" applyAlignment="1">
      <alignment horizontal="left"/>
    </xf>
    <xf numFmtId="44" fontId="7" fillId="13" borderId="15" xfId="1" applyFont="1" applyFill="1" applyBorder="1" applyProtection="1">
      <protection locked="0"/>
    </xf>
    <xf numFmtId="44" fontId="13" fillId="2" borderId="0" xfId="1" applyFont="1" applyFill="1"/>
    <xf numFmtId="44" fontId="3" fillId="0" borderId="0" xfId="1" applyFont="1" applyAlignment="1">
      <alignment horizontal="left" vertical="center"/>
    </xf>
    <xf numFmtId="44" fontId="3" fillId="0" borderId="1" xfId="1" applyFont="1" applyBorder="1" applyAlignment="1">
      <alignment horizontal="left" vertical="center"/>
    </xf>
  </cellXfs>
  <cellStyles count="2">
    <cellStyle name="Monétaire" xfId="1" builtinId="4"/>
    <cellStyle name="Normal" xfId="0" builtinId="0"/>
  </cellStyles>
  <dxfs count="4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48"/>
  <sheetViews>
    <sheetView workbookViewId="0">
      <selection activeCell="G21" sqref="G21"/>
    </sheetView>
  </sheetViews>
  <sheetFormatPr baseColWidth="10" defaultColWidth="9.1328125" defaultRowHeight="14.25" x14ac:dyDescent="0.45"/>
  <cols>
    <col min="1" max="1" width="4.1328125" style="3" customWidth="1"/>
    <col min="2" max="2" width="37.1328125" style="3" bestFit="1" customWidth="1"/>
    <col min="3" max="3" width="16.53125" style="2" customWidth="1"/>
    <col min="4" max="4" width="16.46484375" style="2" customWidth="1"/>
    <col min="5" max="9" width="16.53125" style="2" customWidth="1"/>
    <col min="10" max="11" width="16.46484375" style="2" bestFit="1" customWidth="1"/>
    <col min="12" max="14" width="15.46484375" style="2" bestFit="1" customWidth="1"/>
    <col min="15" max="15" width="15.19921875" style="2" bestFit="1" customWidth="1"/>
    <col min="16" max="16" width="0.33203125" customWidth="1"/>
    <col min="17" max="17" width="15.46484375" style="2" bestFit="1" customWidth="1"/>
    <col min="18" max="16384" width="9.1328125" style="3"/>
  </cols>
  <sheetData>
    <row r="1" spans="2:17" x14ac:dyDescent="0.45">
      <c r="B1" s="71" t="s">
        <v>62</v>
      </c>
    </row>
    <row r="2" spans="2:17" ht="18" x14ac:dyDescent="0.45">
      <c r="B2" s="79" t="s">
        <v>43</v>
      </c>
      <c r="C2" s="79"/>
      <c r="D2" s="1">
        <f t="shared" ref="D2:O2" si="0">+D48</f>
        <v>14624.920000000029</v>
      </c>
      <c r="E2" s="1">
        <f t="shared" si="0"/>
        <v>53579.490000000005</v>
      </c>
      <c r="F2" s="1">
        <f t="shared" si="0"/>
        <v>85495.360000000001</v>
      </c>
      <c r="G2" s="1">
        <f t="shared" si="0"/>
        <v>41991.470000000103</v>
      </c>
      <c r="H2" s="1">
        <f t="shared" si="0"/>
        <v>85623.680000000182</v>
      </c>
      <c r="I2" s="1">
        <f t="shared" si="0"/>
        <v>138402.68000000017</v>
      </c>
      <c r="J2" s="1">
        <f t="shared" si="0"/>
        <v>232003.49000000011</v>
      </c>
      <c r="K2" s="1">
        <f t="shared" si="0"/>
        <v>218205.03000000003</v>
      </c>
      <c r="L2" s="1">
        <f t="shared" si="0"/>
        <v>88755.810000000056</v>
      </c>
      <c r="M2" s="1">
        <f t="shared" si="0"/>
        <v>128435.18000000017</v>
      </c>
      <c r="N2" s="1">
        <f t="shared" si="0"/>
        <v>136951.50000000017</v>
      </c>
      <c r="O2" s="1">
        <f t="shared" si="0"/>
        <v>136951.50000000017</v>
      </c>
      <c r="P2" s="2">
        <f>P48</f>
        <v>0</v>
      </c>
    </row>
    <row r="3" spans="2:17" ht="28.9" thickBot="1" x14ac:dyDescent="0.5">
      <c r="B3" s="80"/>
      <c r="C3" s="80"/>
      <c r="D3" s="61"/>
      <c r="E3" s="61"/>
      <c r="F3" s="61"/>
      <c r="G3" s="61"/>
      <c r="H3" s="61"/>
      <c r="I3" s="61"/>
    </row>
    <row r="4" spans="2:17" s="10" customFormat="1" ht="16.149999999999999" thickBot="1" x14ac:dyDescent="0.5">
      <c r="B4" s="4" t="s">
        <v>0</v>
      </c>
      <c r="C4" s="5" t="s">
        <v>1</v>
      </c>
      <c r="D4" s="5" t="s">
        <v>44</v>
      </c>
      <c r="E4" s="5" t="s">
        <v>45</v>
      </c>
      <c r="F4" s="5" t="s">
        <v>46</v>
      </c>
      <c r="G4" s="5" t="s">
        <v>47</v>
      </c>
      <c r="H4" s="5" t="s">
        <v>48</v>
      </c>
      <c r="I4" s="5" t="s">
        <v>49</v>
      </c>
      <c r="J4" s="6" t="s">
        <v>50</v>
      </c>
      <c r="K4" s="6" t="s">
        <v>51</v>
      </c>
      <c r="L4" s="7" t="s">
        <v>52</v>
      </c>
      <c r="M4" s="6" t="s">
        <v>2</v>
      </c>
      <c r="N4" s="6" t="s">
        <v>3</v>
      </c>
      <c r="O4" s="7" t="s">
        <v>4</v>
      </c>
      <c r="P4" s="8"/>
      <c r="Q4" s="9" t="s">
        <v>5</v>
      </c>
    </row>
    <row r="5" spans="2:17" ht="16.149999999999999" thickBot="1" x14ac:dyDescent="0.55000000000000004">
      <c r="B5" s="11" t="s">
        <v>6</v>
      </c>
      <c r="C5" s="12"/>
      <c r="D5" s="12"/>
      <c r="E5" s="12"/>
      <c r="F5" s="12"/>
      <c r="G5" s="12"/>
      <c r="H5" s="12"/>
      <c r="I5" s="12"/>
      <c r="J5" s="12"/>
      <c r="K5" s="12"/>
      <c r="L5" s="13"/>
      <c r="M5" s="12"/>
      <c r="N5" s="12"/>
      <c r="O5" s="13"/>
      <c r="P5" s="14"/>
      <c r="Q5" s="15"/>
    </row>
    <row r="6" spans="2:17" x14ac:dyDescent="0.45">
      <c r="B6" s="16" t="s">
        <v>7</v>
      </c>
      <c r="C6" s="17">
        <v>10503.67</v>
      </c>
      <c r="D6" s="17"/>
      <c r="E6" s="18"/>
      <c r="F6" s="17"/>
      <c r="G6" s="17"/>
      <c r="H6" s="18"/>
      <c r="I6" s="17"/>
      <c r="J6" s="17"/>
      <c r="K6" s="17"/>
      <c r="L6" s="18"/>
      <c r="M6" s="17"/>
      <c r="N6" s="17"/>
      <c r="O6" s="18"/>
      <c r="P6" s="19"/>
      <c r="Q6" s="20">
        <f>SUM(C6:O6)</f>
        <v>10503.67</v>
      </c>
    </row>
    <row r="7" spans="2:17" x14ac:dyDescent="0.45">
      <c r="B7" s="21" t="s">
        <v>8</v>
      </c>
      <c r="C7" s="22"/>
      <c r="D7" s="22"/>
      <c r="E7" s="23"/>
      <c r="F7" s="22"/>
      <c r="G7" s="22"/>
      <c r="H7" s="23"/>
      <c r="I7" s="22"/>
      <c r="J7" s="22"/>
      <c r="K7" s="22"/>
      <c r="L7" s="23"/>
      <c r="M7" s="22"/>
      <c r="N7" s="22"/>
      <c r="O7" s="23"/>
      <c r="P7" s="19"/>
      <c r="Q7" s="24">
        <f>SUM(C7:O7)</f>
        <v>0</v>
      </c>
    </row>
    <row r="8" spans="2:17" x14ac:dyDescent="0.45">
      <c r="B8" s="21" t="s">
        <v>9</v>
      </c>
      <c r="C8" s="22"/>
      <c r="D8" s="22">
        <v>50000</v>
      </c>
      <c r="E8" s="23">
        <v>50000</v>
      </c>
      <c r="F8" s="22"/>
      <c r="G8" s="22"/>
      <c r="H8" s="23"/>
      <c r="I8" s="22"/>
      <c r="J8" s="22"/>
      <c r="K8" s="22"/>
      <c r="L8" s="23"/>
      <c r="M8" s="22"/>
      <c r="N8" s="22"/>
      <c r="O8" s="23"/>
      <c r="P8" s="19"/>
      <c r="Q8" s="24">
        <f>SUM(C8:O8)</f>
        <v>100000</v>
      </c>
    </row>
    <row r="9" spans="2:17" ht="15" customHeight="1" x14ac:dyDescent="0.45">
      <c r="B9" s="25" t="s">
        <v>10</v>
      </c>
      <c r="C9" s="26"/>
      <c r="D9" s="26"/>
      <c r="E9" s="27"/>
      <c r="F9" s="26"/>
      <c r="G9" s="26"/>
      <c r="H9" s="27"/>
      <c r="I9" s="26"/>
      <c r="J9" s="26"/>
      <c r="K9" s="26"/>
      <c r="L9" s="27"/>
      <c r="M9" s="26"/>
      <c r="N9" s="26"/>
      <c r="O9" s="27"/>
      <c r="P9" s="19"/>
      <c r="Q9" s="28">
        <f>SUM(C9:O9)</f>
        <v>0</v>
      </c>
    </row>
    <row r="10" spans="2:17" ht="1.5" customHeight="1" x14ac:dyDescent="0.45">
      <c r="B10" s="29"/>
      <c r="C10" s="30"/>
      <c r="D10" s="30"/>
      <c r="E10" s="31"/>
      <c r="F10" s="30"/>
      <c r="G10" s="30"/>
      <c r="H10" s="31"/>
      <c r="I10" s="30"/>
      <c r="J10" s="30"/>
      <c r="K10" s="30"/>
      <c r="L10" s="31"/>
      <c r="M10" s="30"/>
      <c r="N10" s="30"/>
      <c r="O10" s="31"/>
      <c r="P10" s="19"/>
      <c r="Q10" s="32"/>
    </row>
    <row r="11" spans="2:17" x14ac:dyDescent="0.45">
      <c r="B11" s="16" t="s">
        <v>11</v>
      </c>
      <c r="C11" s="17"/>
      <c r="D11" s="17">
        <f>4345.2+3744+12642+14520+12672+13728+11760+13680+2160+10800+11832+8268+11040+8052</f>
        <v>139243.20000000001</v>
      </c>
      <c r="E11" s="18">
        <f>11760+15840+15048+13728+15552+6960+10944+12642+9900+11880+13464+14784+13200+12480+6600+2100+8052+12720+10716+15840</f>
        <v>234210</v>
      </c>
      <c r="F11" s="17">
        <f>12936+12144+14520+15312+11880+5280+12000+13728+15312+10752+12600+25176+840+14706+10836+21090+12240+14784+982.8+15600+11880+6624+12600+11280+11400+11040+1260+13920+6000+11232+1392</f>
        <v>351346.8</v>
      </c>
      <c r="G11" s="17">
        <f>10800+125.52+13860+12720+600+12852+15600+11880+6600+10656+11760+13920+12480+14040+6588+20766+11556+14400+11400+7224+14400+10080+10584+10800+14256+14400+23184+12972+12000+6900</f>
        <v>349403.52</v>
      </c>
      <c r="H11" s="18">
        <f>12420+10080+12600+6900+4752+16146+15840+11136+11040+12000+6600+15180+13200+11520+14352+12054+13338+14628+11832+14352+15312+11628+12348+1651.2+7080+17940+840+14766+8052+2232+11352+15456+12960+16560+14076+9000+15120+10800+1440+12000+6600+11592+5700+10830</f>
        <v>485305.2</v>
      </c>
      <c r="I11" s="17">
        <f>7740+14490+13224+10488+12000+11856+6400.02+12540+9720+5550+6588+12084+12636+12960+11856+8736+8352+13338+12960+12540+840+21576+13110+10800+12198+11628+13876.8+12768+10260+1080+12144+8280+3480+10800+8448+5400+5700+10830+7560+9288</f>
        <v>406124.82</v>
      </c>
      <c r="J11" s="17">
        <f>9744+11100+11970+5520+228+1632+6300+10260+11856+18240+14820+12084+6762+12000+12540+8580+9936+11400+15444+11544+12096+22212+11136+10200+12198+6954+840+12744+12768+11400+14820+11628+12960+10260+4320+11592+12540+11880+2160+6600+4950+15444+13200+10200+10032</f>
        <v>467094</v>
      </c>
      <c r="K11" s="17">
        <f>11832+10488+11340+8820+10890+14520+15312+12000+13728+4410+10836+9600+13356+14040+13260+1929.6+7488+12000+840+7320+12960+23952+13200+13440+17160+12036+14124+13158+11760+11400+13260+11880+9780+21027+11424+15480+10179+9384+11400+13692+11880+11088+11088</f>
        <v>508761.59999999998</v>
      </c>
      <c r="L11" s="18">
        <f>13860+4644+6399.51+14400+12480+7020+9384+10440+13200+12480+12000+12987+11172+4500+12720+5610+12348+10200+5616+12480+12840+840+7137+20328+12240+9360+9000+11700+7392+5400+13680+10620+13200+5814+12960+4968+10200+12636+13608+7020+14400+6192+10800+8064+1080+6150+4752+13608</f>
        <v>469929.51</v>
      </c>
      <c r="M11" s="17">
        <f>12600+11592+13920+7024.88+10560+3150+9900+12000+13728+12348+14520+2160+9000+2880+13728+14742+15648+16308+12600+14256+840+4575+11448+17160+8346+1536+9744+13920+12036+2496+14784+6404.71+10752+7020+2520+13650+9792+11592+1980+6240+15840+16380+12600+1080+14616+11880+13608+9936+12474+15120+20538+10530+11617.17</f>
        <v>555719.76000000013</v>
      </c>
      <c r="N11" s="17">
        <f>11088+2580+13200+4800+3816</f>
        <v>35484</v>
      </c>
      <c r="O11" s="18"/>
      <c r="P11" s="19"/>
      <c r="Q11" s="20">
        <f>SUM(C11:O11)</f>
        <v>4002622.4100000006</v>
      </c>
    </row>
    <row r="12" spans="2:17" x14ac:dyDescent="0.45">
      <c r="B12" s="16" t="s">
        <v>12</v>
      </c>
      <c r="C12" s="17"/>
      <c r="D12" s="17"/>
      <c r="E12" s="18"/>
      <c r="F12" s="17"/>
      <c r="G12" s="17">
        <v>664</v>
      </c>
      <c r="H12" s="18"/>
      <c r="I12" s="17"/>
      <c r="J12" s="17"/>
      <c r="K12" s="17">
        <v>10230</v>
      </c>
      <c r="L12" s="18"/>
      <c r="M12" s="17"/>
      <c r="N12" s="17"/>
      <c r="O12" s="18"/>
      <c r="P12" s="19"/>
      <c r="Q12" s="20">
        <f>SUM(C12:O12)</f>
        <v>10894</v>
      </c>
    </row>
    <row r="13" spans="2:17" ht="14.65" thickBot="1" x14ac:dyDescent="0.5">
      <c r="B13" s="21" t="s">
        <v>13</v>
      </c>
      <c r="C13" s="22"/>
      <c r="D13" s="22"/>
      <c r="E13" s="23"/>
      <c r="F13" s="22"/>
      <c r="G13" s="22"/>
      <c r="H13" s="23"/>
      <c r="I13" s="22"/>
      <c r="J13" s="22"/>
      <c r="K13" s="22"/>
      <c r="L13" s="23"/>
      <c r="M13" s="22"/>
      <c r="N13" s="22"/>
      <c r="O13" s="23"/>
      <c r="P13" s="19"/>
      <c r="Q13" s="24">
        <f>SUM(C13:O13)</f>
        <v>0</v>
      </c>
    </row>
    <row r="14" spans="2:17" s="10" customFormat="1" ht="16.149999999999999" thickBot="1" x14ac:dyDescent="0.5">
      <c r="B14" s="33" t="s">
        <v>14</v>
      </c>
      <c r="C14" s="34">
        <f>SUM(C6:C13)</f>
        <v>10503.67</v>
      </c>
      <c r="D14" s="34">
        <f t="shared" ref="D14:O14" si="1">SUM(D6:D13)</f>
        <v>189243.2</v>
      </c>
      <c r="E14" s="34">
        <f t="shared" si="1"/>
        <v>284210</v>
      </c>
      <c r="F14" s="34">
        <f t="shared" si="1"/>
        <v>351346.8</v>
      </c>
      <c r="G14" s="34">
        <f t="shared" si="1"/>
        <v>350067.52</v>
      </c>
      <c r="H14" s="34">
        <f t="shared" si="1"/>
        <v>485305.2</v>
      </c>
      <c r="I14" s="34">
        <f t="shared" si="1"/>
        <v>406124.82</v>
      </c>
      <c r="J14" s="34">
        <f t="shared" si="1"/>
        <v>467094</v>
      </c>
      <c r="K14" s="34">
        <f t="shared" si="1"/>
        <v>518991.6</v>
      </c>
      <c r="L14" s="34">
        <f t="shared" si="1"/>
        <v>469929.51</v>
      </c>
      <c r="M14" s="34">
        <f t="shared" si="1"/>
        <v>555719.76000000013</v>
      </c>
      <c r="N14" s="34">
        <f t="shared" si="1"/>
        <v>35484</v>
      </c>
      <c r="O14" s="34">
        <f t="shared" si="1"/>
        <v>0</v>
      </c>
      <c r="P14" s="35"/>
      <c r="Q14" s="36">
        <f>SUM(C14:O14)</f>
        <v>4124020.0800000005</v>
      </c>
    </row>
    <row r="15" spans="2:17" ht="14.65" thickBot="1" x14ac:dyDescent="0.5"/>
    <row r="16" spans="2:17" ht="16.149999999999999" thickBot="1" x14ac:dyDescent="0.55000000000000004">
      <c r="B16" s="37" t="s">
        <v>15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62"/>
    </row>
    <row r="17" spans="2:17" x14ac:dyDescent="0.45">
      <c r="B17" s="39" t="s">
        <v>16</v>
      </c>
      <c r="C17" s="43"/>
      <c r="D17" s="43">
        <v>35.33</v>
      </c>
      <c r="E17" s="43"/>
      <c r="F17" s="43"/>
      <c r="G17" s="43">
        <v>1.1100000000000001</v>
      </c>
      <c r="H17" s="43">
        <f>968+0.3+0.3+0.3+0.3+(0.3*25)+0.3+0.3+0.3</f>
        <v>977.59999999999968</v>
      </c>
      <c r="I17" s="43">
        <f>6</f>
        <v>6</v>
      </c>
      <c r="J17" s="43">
        <f>7.2+2750+2+12.3</f>
        <v>2771.5</v>
      </c>
      <c r="K17" s="43">
        <f>7.2+2</f>
        <v>9.1999999999999993</v>
      </c>
      <c r="L17" s="43">
        <f>7.2+7320+2+0.3+0.3+0.3+0.3+0.3+0.3+0.3+0.3+0.3+0.3+0.3+0.3+0.3+0.3+0.3+0.3+0.3+0.3+0.3+0.3+0.3+0.3+0.3+0.3</f>
        <v>7336.4000000000042</v>
      </c>
      <c r="M17" s="43">
        <f>19.74+7.2+2+0.3+0.3+0.3+0.3+0.3+0.3+0.3+0.3+0.3+0.3+0.3+0.3+0.3+0.3+0.3+0.3+0.3+0.3+0.3+0.3+0.3+0.3+0.3+0.3+0.3+0.3+0.3+0.3+0.3+0.3+0.3+0.3+0.3+0.3+0.3+0.3+0.3+0.3+0.3+0.3+0.3+0.3+0.3</f>
        <v>41.839999999999911</v>
      </c>
      <c r="N17" s="43">
        <f>40.8+7.2</f>
        <v>48</v>
      </c>
      <c r="O17" s="43"/>
      <c r="P17" s="40"/>
      <c r="Q17" s="41">
        <f t="shared" ref="Q17:Q44" si="2">+SUM(C17:O17)</f>
        <v>11226.980000000003</v>
      </c>
    </row>
    <row r="18" spans="2:17" x14ac:dyDescent="0.45">
      <c r="B18" s="42" t="s">
        <v>17</v>
      </c>
      <c r="C18" s="43"/>
      <c r="D18" s="43">
        <v>38.54</v>
      </c>
      <c r="E18" s="43">
        <v>38.54</v>
      </c>
      <c r="F18" s="43">
        <v>38.54</v>
      </c>
      <c r="G18" s="43">
        <v>38.54</v>
      </c>
      <c r="H18" s="43">
        <v>38.54</v>
      </c>
      <c r="I18" s="43">
        <v>38.54</v>
      </c>
      <c r="J18" s="43">
        <v>38.54</v>
      </c>
      <c r="K18" s="43">
        <f>38.54</f>
        <v>38.54</v>
      </c>
      <c r="L18" s="43">
        <v>38.54</v>
      </c>
      <c r="M18" s="43"/>
      <c r="N18" s="43"/>
      <c r="O18" s="43"/>
      <c r="P18" s="40"/>
      <c r="Q18" s="41">
        <f t="shared" si="2"/>
        <v>346.86</v>
      </c>
    </row>
    <row r="19" spans="2:17" x14ac:dyDescent="0.45">
      <c r="B19" s="42" t="s">
        <v>18</v>
      </c>
      <c r="C19" s="43"/>
      <c r="D19" s="43"/>
      <c r="E19" s="43"/>
      <c r="F19" s="43">
        <v>3402</v>
      </c>
      <c r="G19" s="43"/>
      <c r="H19" s="43">
        <f>1260+60+252</f>
        <v>1572</v>
      </c>
      <c r="I19" s="43"/>
      <c r="J19" s="43">
        <f>126+60+756</f>
        <v>942</v>
      </c>
      <c r="K19" s="43"/>
      <c r="L19" s="43">
        <v>378</v>
      </c>
      <c r="M19" s="43">
        <f>252</f>
        <v>252</v>
      </c>
      <c r="N19" s="43"/>
      <c r="O19" s="43"/>
      <c r="P19" s="40"/>
      <c r="Q19" s="41">
        <f t="shared" si="2"/>
        <v>6546</v>
      </c>
    </row>
    <row r="20" spans="2:17" x14ac:dyDescent="0.45">
      <c r="B20" s="42" t="s">
        <v>19</v>
      </c>
      <c r="C20" s="43"/>
      <c r="D20" s="43"/>
      <c r="E20" s="43"/>
      <c r="F20" s="43"/>
      <c r="G20" s="43"/>
      <c r="H20" s="43"/>
      <c r="I20" s="43">
        <v>4735.51</v>
      </c>
      <c r="J20" s="43"/>
      <c r="K20" s="43"/>
      <c r="L20" s="43">
        <f>1825.55</f>
        <v>1825.55</v>
      </c>
      <c r="M20" s="43"/>
      <c r="N20" s="43">
        <f>8611.41</f>
        <v>8611.41</v>
      </c>
      <c r="O20" s="43"/>
      <c r="P20" s="40"/>
      <c r="Q20" s="41">
        <f t="shared" si="2"/>
        <v>15172.470000000001</v>
      </c>
    </row>
    <row r="21" spans="2:17" x14ac:dyDescent="0.45">
      <c r="B21" s="42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>
        <f>399.6+464.4+327.6</f>
        <v>1191.5999999999999</v>
      </c>
      <c r="N21" s="43"/>
      <c r="O21" s="43"/>
      <c r="P21" s="40"/>
      <c r="Q21" s="41">
        <f t="shared" si="2"/>
        <v>1191.5999999999999</v>
      </c>
    </row>
    <row r="22" spans="2:17" x14ac:dyDescent="0.45">
      <c r="B22" s="42" t="s">
        <v>21</v>
      </c>
      <c r="C22" s="43"/>
      <c r="D22" s="43">
        <v>108</v>
      </c>
      <c r="E22" s="43">
        <v>216</v>
      </c>
      <c r="F22" s="43">
        <f>216+324</f>
        <v>540</v>
      </c>
      <c r="G22" s="43"/>
      <c r="H22" s="43">
        <v>324</v>
      </c>
      <c r="I22" s="43">
        <f>324+324</f>
        <v>648</v>
      </c>
      <c r="J22" s="43">
        <v>324</v>
      </c>
      <c r="K22" s="43"/>
      <c r="L22" s="43">
        <v>324</v>
      </c>
      <c r="M22" s="43">
        <v>324</v>
      </c>
      <c r="N22" s="43">
        <v>324</v>
      </c>
      <c r="O22" s="43"/>
      <c r="P22" s="40"/>
      <c r="Q22" s="41">
        <f t="shared" si="2"/>
        <v>3132</v>
      </c>
    </row>
    <row r="23" spans="2:17" x14ac:dyDescent="0.45"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7"/>
      <c r="P23" s="40"/>
      <c r="Q23" s="41">
        <f t="shared" si="2"/>
        <v>0</v>
      </c>
    </row>
    <row r="24" spans="2:17" x14ac:dyDescent="0.45">
      <c r="B24" s="44" t="s">
        <v>22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0"/>
      <c r="Q24" s="41">
        <f t="shared" si="2"/>
        <v>0</v>
      </c>
    </row>
    <row r="25" spans="2:17" x14ac:dyDescent="0.45">
      <c r="B25" s="45" t="s">
        <v>23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0"/>
      <c r="Q25" s="41">
        <f t="shared" si="2"/>
        <v>0</v>
      </c>
    </row>
    <row r="26" spans="2:17" x14ac:dyDescent="0.45">
      <c r="B26" s="45" t="s">
        <v>24</v>
      </c>
      <c r="C26" s="43"/>
      <c r="D26" s="43"/>
      <c r="E26" s="43">
        <v>6600</v>
      </c>
      <c r="F26" s="43">
        <v>6600</v>
      </c>
      <c r="G26" s="43"/>
      <c r="H26" s="43"/>
      <c r="I26" s="43">
        <f>12000+12000</f>
        <v>24000</v>
      </c>
      <c r="J26" s="43">
        <f>12000</f>
        <v>12000</v>
      </c>
      <c r="K26" s="43"/>
      <c r="L26" s="43">
        <f>12000+12000</f>
        <v>24000</v>
      </c>
      <c r="M26" s="43"/>
      <c r="N26" s="43"/>
      <c r="O26" s="43"/>
      <c r="P26" s="40"/>
      <c r="Q26" s="41">
        <f t="shared" si="2"/>
        <v>73200</v>
      </c>
    </row>
    <row r="27" spans="2:17" ht="15" customHeight="1" x14ac:dyDescent="0.45">
      <c r="B27" s="45" t="s">
        <v>25</v>
      </c>
      <c r="C27" s="43"/>
      <c r="D27" s="43">
        <f>43.06+104.3+11.7+1.2+38.7+10.95+43.06</f>
        <v>252.96999999999997</v>
      </c>
      <c r="E27" s="43">
        <f>50.5+173+62+26.3+40.7+43+1.2+243+12.05</f>
        <v>651.75</v>
      </c>
      <c r="F27" s="43">
        <f>1.2+439+664+235.5</f>
        <v>1339.7</v>
      </c>
      <c r="G27" s="43">
        <f>55.37+1.2</f>
        <v>56.57</v>
      </c>
      <c r="H27" s="43">
        <f>53.82+7.16+1.28+1.2+23+5+7.16+46.7</f>
        <v>145.32</v>
      </c>
      <c r="I27" s="43">
        <f>36.9+22.98+8.5+5.99+12+1.2+54+33.8</f>
        <v>175.37</v>
      </c>
      <c r="J27" s="43">
        <f>4.32+5.14+47.38+1.2+3.37</f>
        <v>61.410000000000004</v>
      </c>
      <c r="K27" s="43">
        <f>1.2+53.26+48.18</f>
        <v>102.64</v>
      </c>
      <c r="L27" s="43">
        <f>6.42+132.5+1487.65+1487.65+1.2+34.8+653.78+3199.6+31.35+74.2</f>
        <v>7109.1500000000005</v>
      </c>
      <c r="M27" s="43">
        <f>418.24+1.28+287.6+135.11+44.7+3.37+276+55.99+70.5+27.6+99+30+85.4+2958+220</f>
        <v>4712.79</v>
      </c>
      <c r="N27" s="43"/>
      <c r="O27" s="43"/>
      <c r="P27" s="40"/>
      <c r="Q27" s="41">
        <f t="shared" si="2"/>
        <v>14607.670000000002</v>
      </c>
    </row>
    <row r="28" spans="2:17" ht="15" customHeight="1" x14ac:dyDescent="0.45">
      <c r="B28" s="21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0"/>
      <c r="Q28" s="41">
        <f t="shared" si="2"/>
        <v>0</v>
      </c>
    </row>
    <row r="29" spans="2:17" x14ac:dyDescent="0.45">
      <c r="B29" s="46" t="s">
        <v>26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0"/>
      <c r="Q29" s="41">
        <f t="shared" si="2"/>
        <v>0</v>
      </c>
    </row>
    <row r="30" spans="2:17" x14ac:dyDescent="0.45">
      <c r="B30" s="46" t="s">
        <v>27</v>
      </c>
      <c r="C30" s="43"/>
      <c r="D30" s="43"/>
      <c r="E30" s="43"/>
      <c r="F30" s="43"/>
      <c r="G30" s="43"/>
      <c r="H30" s="43">
        <v>28803</v>
      </c>
      <c r="I30" s="43"/>
      <c r="J30" s="43"/>
      <c r="K30" s="43">
        <v>150651</v>
      </c>
      <c r="L30" s="43">
        <f>30000+148472</f>
        <v>178472</v>
      </c>
      <c r="M30" s="43">
        <f>100228</f>
        <v>100228</v>
      </c>
      <c r="N30" s="43"/>
      <c r="O30" s="43"/>
      <c r="P30" s="40"/>
      <c r="Q30" s="41">
        <f t="shared" si="2"/>
        <v>458154</v>
      </c>
    </row>
    <row r="31" spans="2:17" x14ac:dyDescent="0.45">
      <c r="B31" s="46" t="s">
        <v>28</v>
      </c>
      <c r="C31" s="43"/>
      <c r="D31" s="43"/>
      <c r="E31" s="43">
        <f>3900+6600</f>
        <v>10500</v>
      </c>
      <c r="F31" s="43">
        <f>2352+8550+13728+6600+12000</f>
        <v>43230</v>
      </c>
      <c r="G31" s="43">
        <f>9675+13728+12000+840+6600+1629.6+3500+6116.2</f>
        <v>54088.799999999996</v>
      </c>
      <c r="H31" s="43">
        <f>12000+8550+4656+1260+5400+14300+1080+12480+5350.94+10800+840+6600+5354.4</f>
        <v>88671.34</v>
      </c>
      <c r="I31" s="43">
        <f>840+5400+4306.8+1080</f>
        <v>11626.8</v>
      </c>
      <c r="J31" s="43">
        <f>2505+4050+4423.2+840+5700</f>
        <v>17518.2</v>
      </c>
      <c r="K31" s="43">
        <f>3600+11477.4</f>
        <v>15077.4</v>
      </c>
      <c r="L31" s="43">
        <f>3841.2+840+6000+1620+4800+3492+840+5850</f>
        <v>27283.200000000001</v>
      </c>
      <c r="M31" s="43">
        <f>4772.4+4320+840+3750+4545</f>
        <v>18227.400000000001</v>
      </c>
      <c r="N31" s="43"/>
      <c r="O31" s="43"/>
      <c r="P31" s="40"/>
      <c r="Q31" s="41">
        <f t="shared" si="2"/>
        <v>286223.14</v>
      </c>
    </row>
    <row r="32" spans="2:17" x14ac:dyDescent="0.45">
      <c r="B32" s="21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0"/>
      <c r="Q32" s="41">
        <f t="shared" si="2"/>
        <v>0</v>
      </c>
    </row>
    <row r="33" spans="2:17" x14ac:dyDescent="0.45">
      <c r="B33" s="47" t="s">
        <v>29</v>
      </c>
      <c r="C33" s="43"/>
      <c r="D33" s="43">
        <f>5393.45+6963.42+3603.05+3845.76+4748.71+4800.83+4588.27+2682.2+4198.99+5330.69+4953.25+4540.36+5793.2+5737.17+5210.66+4871.86+5603.31+5622.89+5371.28+4740.09+4975.84+5889.62+4938.15+6612.4+4856.96</f>
        <v>125872.40999999999</v>
      </c>
      <c r="E33" s="43">
        <f>4740.09+4856.96+5889.62+4938.15+4975.84+6612.4+5371.28+3973.24+3724.6+6025.8+4996.03+2281.82+5393.45+3845.76+5055.27+4800.83+5737.17+5622.89+4198.99+4953.25+4544.7+5603.31+5330.69+5793.2+6962.33+5093.08+4841.69+4507.46+262.04+527.68+5217.98</f>
        <v>146677.6</v>
      </c>
      <c r="F33" s="43">
        <f>6962.33+5393.45+3973.24+3845.76+5093.08+5055.27+6025.8+4740.09+4800.83+4841.69+4856.96+5889.62+5622.89+4996.03+4938.15+5217.98+4198.99+6612.4+4953.25+4507.46+5371.28+5603.31+5330.69+5793.2+2535.12+4727.68+6072.82+3883.63+4592.51+4598.44+5457.37+5680.68+4846.9+1931.4+6227.2</f>
        <v>175177.5</v>
      </c>
      <c r="G33" s="43">
        <f>5393.45+4727.68+5093.08+5055.27+4800.83+4740.09+4841.69+4856.96+5889.62+5622.89+4996.03+4938.15+4198.99+6612.4+4953.25+4507.46+4598.44+5457.37+5371.28+5603.31+5330.69+5680.68+4846.9+1931.4+5793.2+2425.58+5962.33+5503.4+4529.47+2739.21+3890.93+5681.23+5524.33+5488.5+5307.33+7098.73</f>
        <v>179992.14999999997</v>
      </c>
      <c r="H33" s="43">
        <f>4800.83+4841.69+4856.96+5889.62+5622.89+4996.03+4938.15+5524.33+5488.5+7098.73+4198.99+4953.25+5307.33+4507.46+5457.37+5603.31+4846.9+5793.2+5393.45+4727.68+3890.93+5093.08+5681.23+4740.09+5555.27+3974.59+5301.98+4897.87+5680.68+1931.4+4598.44+5330.69+5960.71+5503.4+4529.47</f>
        <v>177516.49999999997</v>
      </c>
      <c r="I33" s="43">
        <f>5889.28+139.22+9222.1+5503.4+5393.45+4529.47+4727.68+5093.08+5555.27+5681.23+4740.09+4800.83+4841.69+4856.96+4996.03+4938.15+5524.33+4198.99+5307.33+4953.25+4507.46+4598.44+5457.37+5330.69+5680.68+4846.9+5921.5+5836.46+6167.99+7098.73+4799.57+4466.41+3801.71+1983.43+5783.4+4750.97+2865.45</f>
        <v>184788.99000000002</v>
      </c>
      <c r="J33" s="43">
        <f>151.94+5268.84+2372.9+7578.02+5581.61+4545.24+5119.8+5465.35+5064.82+4802.84+5737.77+5681.23+4689.38+3123.25+5173.91+5401.22+2376.16+5921.5+4529.47+4727.68+5555.27+4841.69+6167.99+4198.99+5307.33+4953.25+4507.46+5457.37+5680.68+4846.9+5364.26+1983.43+5066.59+5520.07+4569.12+4705.37+4796.95+5755.76+4994.98+5466.95+5058.16+4580.12+5241.99</f>
        <v>207933.61000000004</v>
      </c>
      <c r="K33" s="43">
        <f>4380.59+1701.39+5334.64+4725.8+10557.92+4443.17+4821.58+4745.53+5268.03+4687.14+4772.51+4545.24+4808.36+6951.1+5099.78+5398.95+5466.85+7087.81+3782.84+5303.33+4953.25+4502.05+4473.68+5064.82+4328.08+5191.59+4846.9+5676.56+5681.23+5921.5+5503.4+3656.54+4365.41+6167.99+4378.53+5177.96+5745.86+5680.68+1983.43+5468.8+4421.18+826.44</f>
        <v>207898.43999999997</v>
      </c>
      <c r="L33" s="43">
        <f>1193.14+103.86+724.53+256.21+5921.5+5334.64+4745.53+4772.51+4687.14+4545.24+4808.36+5099.78+5398.95+5466.85+4421.18+4953.25+4473.68+5352.23+5064.82+5745.86+1983.43+5681.23+5439.57+5413.08+4839.15+2877.61+5336.18+4585.47+5036.8+4651.12+4600.73+4812.22+5755.76+6210.89+5987.81+4868.88+5167.18+4403.66+5515.42+5555.27+6951.1+2046.56</f>
        <v>190788.38</v>
      </c>
      <c r="M33" s="43">
        <f>4745.34+5537.56+3131.4+6290.54+944.91+5202.93+5398.95+6210.89+5167.18+4421.18+4403.66+5745.86+5537.56+5681.23+4687.14+5036.8+4978.21+4669.06+1941.61+4511.82+4727.82+4615.81+5719.07+5005.21+5935.28+4831.27+6953.68+3684.7+5654.93+5044.22+5229.73+7061.59+5177.96+5824.21+5786.71+5615.66+5182.04+5118.04+5935.32+4731.26+4199.07+4528.98+4243.51+5569.61</f>
        <v>220619.51000000007</v>
      </c>
      <c r="N33" s="43">
        <f>7607.3</f>
        <v>7607.3</v>
      </c>
      <c r="O33" s="43"/>
      <c r="P33" s="40"/>
      <c r="Q33" s="41">
        <f t="shared" si="2"/>
        <v>1824872.3900000001</v>
      </c>
    </row>
    <row r="34" spans="2:17" x14ac:dyDescent="0.45">
      <c r="B34" s="48" t="s">
        <v>30</v>
      </c>
      <c r="C34" s="43"/>
      <c r="D34" s="43"/>
      <c r="E34" s="43">
        <f>474.88+480.49+592.03+171.86+398.2+981.2+534.82+358.4+457.84+771.66+193.56</f>
        <v>5414.9400000000005</v>
      </c>
      <c r="F34" s="43">
        <f>597+440.8+500.52+118.98+248.14+568.6+313+118.98+384+892+301.71+586.2+649.54+358.4+338.56+720+671.55+491.92+553.17+279.33+308.82+291.7+592.03+892+212.2+158.64+384+372.9+610.51+710.6+345.48+474.88</f>
        <v>14486.16</v>
      </c>
      <c r="G34" s="43"/>
      <c r="H34" s="43">
        <f>597.42+441.09+328.14+247.8+219.95+544.31+257.08+893+324.58+153.34+384.24+324.91+711.12+331.2+369.28+441.09+473.32+217.3+259.94+470.26+289.12+893+312.76+167.28+294.48+287.43+518.13+358.4+423.14+597.42+261.5</f>
        <v>12392.029999999999</v>
      </c>
      <c r="I34" s="43">
        <f>675.96+236+494.94+390.36+643.05+516.06+1034+300.94+181.22+646.79+344.8+476.99</f>
        <v>5941.1100000000006</v>
      </c>
      <c r="J34" s="43">
        <f>264.22+319.91+506.98+374.89+623.6+244.5+279.93+459.04+154.53+299.92+569+364.77+940+277.3+421.3+167.28+471.28+337.41+389.48+290.4+279.52+261.57</f>
        <v>8296.83</v>
      </c>
      <c r="K34" s="43"/>
      <c r="L34" s="43">
        <f>440.34+227.5+519.83+454.6+243.62+318.48+81.81+239.94+643.05+403.45+402.59+376+300.94+571.24+83.64+489.84+324.91+344.8+297.47+644+518.88+479.85+596.44+354.9+476.99+190.89+199.96+569+242.8+497.15+987+348.22+139.4+549.82+489.84+287.43+320.64+385.6+270.54+97.95</f>
        <v>15411.349999999999</v>
      </c>
      <c r="M34" s="43"/>
      <c r="N34" s="43">
        <f>9026.07</f>
        <v>9026.07</v>
      </c>
      <c r="O34" s="43"/>
      <c r="P34" s="40"/>
      <c r="Q34" s="41">
        <f t="shared" si="2"/>
        <v>70968.489999999991</v>
      </c>
    </row>
    <row r="35" spans="2:17" x14ac:dyDescent="0.45">
      <c r="B35" s="48" t="s">
        <v>31</v>
      </c>
      <c r="C35" s="43"/>
      <c r="D35" s="43"/>
      <c r="E35" s="43">
        <v>6000</v>
      </c>
      <c r="F35" s="43"/>
      <c r="G35" s="43"/>
      <c r="H35" s="43"/>
      <c r="I35" s="43"/>
      <c r="J35" s="43"/>
      <c r="K35" s="43">
        <v>3500</v>
      </c>
      <c r="L35" s="43">
        <v>4000</v>
      </c>
      <c r="M35" s="43">
        <f>6000</f>
        <v>6000</v>
      </c>
      <c r="N35" s="43"/>
      <c r="O35" s="43"/>
      <c r="P35" s="40"/>
      <c r="Q35" s="41">
        <f t="shared" si="2"/>
        <v>19500</v>
      </c>
    </row>
    <row r="36" spans="2:17" x14ac:dyDescent="0.45">
      <c r="B36" s="48" t="s">
        <v>32</v>
      </c>
      <c r="C36" s="43"/>
      <c r="D36" s="43">
        <f>781.25+253.06+1528+1199.99+39.98+1479+25</f>
        <v>5306.2800000000007</v>
      </c>
      <c r="E36" s="43">
        <f>1609+1609+1990</f>
        <v>5208</v>
      </c>
      <c r="F36" s="43">
        <f>118.8+15+55.2+1179+583.2+31.83</f>
        <v>1983.03</v>
      </c>
      <c r="G36" s="43">
        <f>104.6+3945.73</f>
        <v>4050.33</v>
      </c>
      <c r="H36" s="43">
        <f>20+20</f>
        <v>40</v>
      </c>
      <c r="I36" s="43">
        <f>599+1139+159.99+1479+449</f>
        <v>3825.99</v>
      </c>
      <c r="J36" s="43">
        <f>202.9+20.99+129.99</f>
        <v>353.88</v>
      </c>
      <c r="K36" s="43">
        <f>99.51+899+2799</f>
        <v>3797.51</v>
      </c>
      <c r="L36" s="43">
        <f>124.88+4224+25+104.71+9.07</f>
        <v>4487.66</v>
      </c>
      <c r="M36" s="43">
        <f>119.98+1255.99+1479.2+1479</f>
        <v>4334.17</v>
      </c>
      <c r="N36" s="43">
        <f>1229+68+53.9</f>
        <v>1350.9</v>
      </c>
      <c r="O36" s="43"/>
      <c r="P36" s="40"/>
      <c r="Q36" s="41">
        <f t="shared" si="2"/>
        <v>34737.75</v>
      </c>
    </row>
    <row r="37" spans="2:17" x14ac:dyDescent="0.45">
      <c r="B37" s="48" t="s">
        <v>33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0"/>
      <c r="Q37" s="41">
        <f t="shared" si="2"/>
        <v>0</v>
      </c>
    </row>
    <row r="38" spans="2:17" x14ac:dyDescent="0.45">
      <c r="B38" s="48" t="s">
        <v>34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0"/>
      <c r="Q38" s="41">
        <f t="shared" si="2"/>
        <v>0</v>
      </c>
    </row>
    <row r="39" spans="2:17" x14ac:dyDescent="0.45">
      <c r="B39" s="49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0"/>
      <c r="Q39" s="41">
        <f t="shared" si="2"/>
        <v>0</v>
      </c>
    </row>
    <row r="40" spans="2:17" x14ac:dyDescent="0.45">
      <c r="B40" s="50" t="s">
        <v>35</v>
      </c>
      <c r="C40" s="43"/>
      <c r="D40" s="43">
        <v>28761</v>
      </c>
      <c r="E40" s="43">
        <v>54110</v>
      </c>
      <c r="F40" s="43">
        <v>63309</v>
      </c>
      <c r="G40" s="43">
        <v>74800</v>
      </c>
      <c r="H40" s="43">
        <v>78001</v>
      </c>
      <c r="I40" s="43">
        <f>76370+106</f>
        <v>76476</v>
      </c>
      <c r="J40" s="43">
        <v>79639</v>
      </c>
      <c r="K40" s="43">
        <v>86808</v>
      </c>
      <c r="L40" s="43">
        <f>86+87878</f>
        <v>87964</v>
      </c>
      <c r="M40" s="43">
        <f>91105+13</f>
        <v>91118</v>
      </c>
      <c r="N40" s="43"/>
      <c r="O40" s="43"/>
      <c r="P40" s="40"/>
      <c r="Q40" s="41">
        <f t="shared" si="2"/>
        <v>720986</v>
      </c>
    </row>
    <row r="41" spans="2:17" x14ac:dyDescent="0.45">
      <c r="B41" s="51" t="s">
        <v>36</v>
      </c>
      <c r="C41" s="43"/>
      <c r="D41" s="43">
        <f>1277.47+6157.76+11138.54</f>
        <v>18573.77</v>
      </c>
      <c r="E41" s="43"/>
      <c r="F41" s="43"/>
      <c r="G41" s="43">
        <f>23275.27+19960.77+27554.87</f>
        <v>70790.91</v>
      </c>
      <c r="H41" s="43">
        <v>28854.48</v>
      </c>
      <c r="I41" s="43">
        <v>28890.51</v>
      </c>
      <c r="J41" s="43">
        <v>30338.22</v>
      </c>
      <c r="K41" s="43">
        <v>33083.82</v>
      </c>
      <c r="L41" s="43">
        <v>33376.5</v>
      </c>
      <c r="M41" s="43">
        <v>34519.120000000003</v>
      </c>
      <c r="N41" s="43"/>
      <c r="O41" s="43"/>
      <c r="P41" s="40"/>
      <c r="Q41" s="41">
        <f t="shared" si="2"/>
        <v>278427.33</v>
      </c>
    </row>
    <row r="42" spans="2:17" x14ac:dyDescent="0.45">
      <c r="B42" s="51" t="s">
        <v>37</v>
      </c>
      <c r="C42" s="43"/>
      <c r="D42" s="43"/>
      <c r="E42" s="43">
        <v>1568.6</v>
      </c>
      <c r="F42" s="43"/>
      <c r="G42" s="43"/>
      <c r="H42" s="43">
        <v>6634.62</v>
      </c>
      <c r="I42" s="43"/>
      <c r="J42" s="43"/>
      <c r="K42" s="43">
        <v>8007.3</v>
      </c>
      <c r="L42" s="43"/>
      <c r="M42" s="43">
        <f>9303.72</f>
        <v>9303.7199999999993</v>
      </c>
      <c r="N42" s="43"/>
      <c r="O42" s="43"/>
      <c r="P42" s="40"/>
      <c r="Q42" s="41">
        <f t="shared" si="2"/>
        <v>25514.239999999998</v>
      </c>
    </row>
    <row r="43" spans="2:17" x14ac:dyDescent="0.45">
      <c r="B43" s="51" t="s">
        <v>38</v>
      </c>
      <c r="C43" s="43"/>
      <c r="D43" s="43">
        <v>1597.65</v>
      </c>
      <c r="E43" s="43"/>
      <c r="F43" s="43"/>
      <c r="G43" s="43"/>
      <c r="H43" s="43">
        <v>6466.56</v>
      </c>
      <c r="I43" s="43"/>
      <c r="J43" s="43"/>
      <c r="K43" s="43">
        <v>7969.21</v>
      </c>
      <c r="L43" s="43"/>
      <c r="M43" s="43">
        <f>8970.24</f>
        <v>8970.24</v>
      </c>
      <c r="N43" s="43"/>
      <c r="O43" s="43"/>
      <c r="P43" s="40"/>
      <c r="Q43" s="41">
        <f t="shared" si="2"/>
        <v>25003.660000000003</v>
      </c>
    </row>
    <row r="44" spans="2:17" ht="14.65" thickBot="1" x14ac:dyDescent="0.5">
      <c r="B44" s="51" t="s">
        <v>39</v>
      </c>
      <c r="C44" s="43"/>
      <c r="D44" s="43">
        <v>4576</v>
      </c>
      <c r="E44" s="43">
        <v>8270</v>
      </c>
      <c r="F44" s="43">
        <v>9325</v>
      </c>
      <c r="G44" s="43">
        <f>9753</f>
        <v>9753</v>
      </c>
      <c r="H44" s="43">
        <v>11236</v>
      </c>
      <c r="I44" s="43">
        <v>12193</v>
      </c>
      <c r="J44" s="43">
        <v>13276</v>
      </c>
      <c r="K44" s="43">
        <f>15847</f>
        <v>15847</v>
      </c>
      <c r="L44" s="43">
        <f>16584</f>
        <v>16584</v>
      </c>
      <c r="M44" s="43">
        <f>16198</f>
        <v>16198</v>
      </c>
      <c r="N44" s="43"/>
      <c r="O44" s="43"/>
      <c r="P44" s="40"/>
      <c r="Q44" s="41">
        <f t="shared" si="2"/>
        <v>117258</v>
      </c>
    </row>
    <row r="45" spans="2:17" ht="16.149999999999999" thickBot="1" x14ac:dyDescent="0.55000000000000004">
      <c r="B45" s="52" t="s">
        <v>40</v>
      </c>
      <c r="C45" s="53">
        <f>+SUM(C17:C44)</f>
        <v>0</v>
      </c>
      <c r="D45" s="53">
        <f t="shared" ref="D45:O45" si="3">+SUM(D17:D44)</f>
        <v>185121.94999999998</v>
      </c>
      <c r="E45" s="53">
        <f t="shared" si="3"/>
        <v>245255.43000000002</v>
      </c>
      <c r="F45" s="53">
        <f t="shared" si="3"/>
        <v>319430.93</v>
      </c>
      <c r="G45" s="53">
        <f t="shared" si="3"/>
        <v>393571.40999999992</v>
      </c>
      <c r="H45" s="53">
        <f t="shared" si="3"/>
        <v>441672.98999999993</v>
      </c>
      <c r="I45" s="53">
        <f t="shared" si="3"/>
        <v>353345.82</v>
      </c>
      <c r="J45" s="53">
        <f t="shared" si="3"/>
        <v>373493.19000000006</v>
      </c>
      <c r="K45" s="53">
        <f t="shared" si="3"/>
        <v>532790.06000000006</v>
      </c>
      <c r="L45" s="53">
        <f t="shared" si="3"/>
        <v>599378.73</v>
      </c>
      <c r="M45" s="53">
        <f t="shared" si="3"/>
        <v>516040.39</v>
      </c>
      <c r="N45" s="53">
        <f t="shared" si="3"/>
        <v>26967.68</v>
      </c>
      <c r="O45" s="53">
        <f t="shared" si="3"/>
        <v>0</v>
      </c>
      <c r="P45" s="54"/>
      <c r="Q45" s="55">
        <f>+SUM(C45:O45)</f>
        <v>3987068.5800000005</v>
      </c>
    </row>
    <row r="46" spans="2:17" ht="14.65" thickBot="1" x14ac:dyDescent="0.5">
      <c r="B46" s="56"/>
      <c r="C46" s="57"/>
      <c r="D46" s="57"/>
      <c r="E46" s="57"/>
      <c r="F46" s="57"/>
      <c r="G46" s="57"/>
      <c r="H46" s="57"/>
      <c r="I46" s="57"/>
      <c r="J46" s="57"/>
      <c r="K46" s="57"/>
      <c r="M46" s="57"/>
      <c r="N46" s="57"/>
      <c r="P46" s="40"/>
    </row>
    <row r="47" spans="2:17" ht="15.75" x14ac:dyDescent="0.5">
      <c r="B47" s="63" t="s">
        <v>41</v>
      </c>
      <c r="C47" s="58">
        <f>C14-C45</f>
        <v>10503.67</v>
      </c>
      <c r="D47" s="58">
        <f t="shared" ref="D47:O47" si="4">D14-D45</f>
        <v>4121.2500000000291</v>
      </c>
      <c r="E47" s="58">
        <f t="shared" si="4"/>
        <v>38954.569999999978</v>
      </c>
      <c r="F47" s="58">
        <f t="shared" si="4"/>
        <v>31915.869999999995</v>
      </c>
      <c r="G47" s="58">
        <f t="shared" si="4"/>
        <v>-43503.889999999898</v>
      </c>
      <c r="H47" s="58">
        <f t="shared" si="4"/>
        <v>43632.210000000079</v>
      </c>
      <c r="I47" s="58">
        <f t="shared" si="4"/>
        <v>52779</v>
      </c>
      <c r="J47" s="58">
        <f t="shared" si="4"/>
        <v>93600.809999999939</v>
      </c>
      <c r="K47" s="58">
        <f t="shared" si="4"/>
        <v>-13798.460000000079</v>
      </c>
      <c r="L47" s="58">
        <f t="shared" si="4"/>
        <v>-129449.21999999997</v>
      </c>
      <c r="M47" s="58">
        <f t="shared" si="4"/>
        <v>39679.370000000112</v>
      </c>
      <c r="N47" s="58">
        <f t="shared" si="4"/>
        <v>8516.32</v>
      </c>
      <c r="O47" s="58">
        <f t="shared" si="4"/>
        <v>0</v>
      </c>
      <c r="P47" s="59"/>
      <c r="Q47" s="60">
        <f>Q14-Q45</f>
        <v>136951.5</v>
      </c>
    </row>
    <row r="48" spans="2:17" ht="16.149999999999999" thickBot="1" x14ac:dyDescent="0.55000000000000004">
      <c r="B48" s="64" t="s">
        <v>42</v>
      </c>
      <c r="C48" s="58">
        <f>C47</f>
        <v>10503.67</v>
      </c>
      <c r="D48" s="58">
        <f>C48+D47</f>
        <v>14624.920000000029</v>
      </c>
      <c r="E48" s="58">
        <f t="shared" ref="E48:O48" si="5">D48+E47</f>
        <v>53579.490000000005</v>
      </c>
      <c r="F48" s="58">
        <f t="shared" si="5"/>
        <v>85495.360000000001</v>
      </c>
      <c r="G48" s="58">
        <f t="shared" si="5"/>
        <v>41991.470000000103</v>
      </c>
      <c r="H48" s="58">
        <f t="shared" si="5"/>
        <v>85623.680000000182</v>
      </c>
      <c r="I48" s="58">
        <f t="shared" si="5"/>
        <v>138402.68000000017</v>
      </c>
      <c r="J48" s="58">
        <f t="shared" si="5"/>
        <v>232003.49000000011</v>
      </c>
      <c r="K48" s="58">
        <f t="shared" si="5"/>
        <v>218205.03000000003</v>
      </c>
      <c r="L48" s="58">
        <f t="shared" si="5"/>
        <v>88755.810000000056</v>
      </c>
      <c r="M48" s="58">
        <f t="shared" si="5"/>
        <v>128435.18000000017</v>
      </c>
      <c r="N48" s="58">
        <f t="shared" si="5"/>
        <v>136951.50000000017</v>
      </c>
      <c r="O48" s="58">
        <f t="shared" si="5"/>
        <v>136951.50000000017</v>
      </c>
      <c r="P48" s="59"/>
      <c r="Q48" s="60"/>
    </row>
  </sheetData>
  <mergeCells count="1">
    <mergeCell ref="B2:C3"/>
  </mergeCells>
  <conditionalFormatting sqref="C47:Q48">
    <cfRule type="cellIs" dxfId="47" priority="1" operator="lessThan">
      <formula>0</formula>
    </cfRule>
    <cfRule type="cellIs" dxfId="46" priority="2" operator="greaterThan">
      <formula>0</formula>
    </cfRule>
  </conditionalFormatting>
  <conditionalFormatting sqref="Q45">
    <cfRule type="cellIs" dxfId="45" priority="3" operator="greaterThan">
      <formula>0</formula>
    </cfRule>
    <cfRule type="cellIs" dxfId="44" priority="4" operator="lessThan">
      <formula>0</formula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70477-3BF3-4BCE-A43D-D247801C4805}">
  <dimension ref="B1:Q48"/>
  <sheetViews>
    <sheetView topLeftCell="A16" workbookViewId="0">
      <selection activeCell="J38" sqref="J38"/>
    </sheetView>
  </sheetViews>
  <sheetFormatPr baseColWidth="10" defaultColWidth="9.1328125" defaultRowHeight="14.25" x14ac:dyDescent="0.45"/>
  <cols>
    <col min="1" max="1" width="4.1328125" style="3" customWidth="1"/>
    <col min="2" max="2" width="37.1328125" style="3" bestFit="1" customWidth="1"/>
    <col min="3" max="3" width="16.53125" style="2" customWidth="1"/>
    <col min="4" max="4" width="16.46484375" style="2" customWidth="1"/>
    <col min="5" max="9" width="16.53125" style="2" customWidth="1"/>
    <col min="10" max="11" width="16.46484375" style="2" bestFit="1" customWidth="1"/>
    <col min="12" max="12" width="17.9296875" style="2" customWidth="1"/>
    <col min="13" max="15" width="15.19921875" style="2" bestFit="1" customWidth="1"/>
    <col min="16" max="16" width="0.33203125" customWidth="1"/>
    <col min="17" max="17" width="15.46484375" style="2" bestFit="1" customWidth="1"/>
    <col min="18" max="16384" width="9.1328125" style="3"/>
  </cols>
  <sheetData>
    <row r="1" spans="2:17" x14ac:dyDescent="0.45">
      <c r="B1" s="71" t="s">
        <v>61</v>
      </c>
    </row>
    <row r="2" spans="2:17" ht="18" x14ac:dyDescent="0.45">
      <c r="B2" s="79" t="s">
        <v>43</v>
      </c>
      <c r="C2" s="79"/>
      <c r="D2" s="1">
        <f t="shared" ref="D2:O2" si="0">+D48</f>
        <v>14624.920000000029</v>
      </c>
      <c r="E2" s="1">
        <f t="shared" si="0"/>
        <v>53579.490000000005</v>
      </c>
      <c r="F2" s="1">
        <f t="shared" si="0"/>
        <v>85495.360000000001</v>
      </c>
      <c r="G2" s="1">
        <f t="shared" si="0"/>
        <v>41991.470000000103</v>
      </c>
      <c r="H2" s="1">
        <f t="shared" si="0"/>
        <v>85623.680000000182</v>
      </c>
      <c r="I2" s="1">
        <f t="shared" si="0"/>
        <v>138402.68000000017</v>
      </c>
      <c r="J2" s="1">
        <f t="shared" si="0"/>
        <v>232003.49000000011</v>
      </c>
      <c r="K2" s="1">
        <f t="shared" si="0"/>
        <v>232065.03000000003</v>
      </c>
      <c r="L2" s="1">
        <f t="shared" si="0"/>
        <v>663525.88000000012</v>
      </c>
      <c r="M2" s="1">
        <f t="shared" si="0"/>
        <v>663525.88000000012</v>
      </c>
      <c r="N2" s="1">
        <f t="shared" si="0"/>
        <v>663525.88000000012</v>
      </c>
      <c r="O2" s="1">
        <f t="shared" si="0"/>
        <v>663525.88000000012</v>
      </c>
      <c r="P2" s="2">
        <f>P48</f>
        <v>0</v>
      </c>
    </row>
    <row r="3" spans="2:17" ht="28.9" thickBot="1" x14ac:dyDescent="0.5">
      <c r="B3" s="80"/>
      <c r="C3" s="80"/>
      <c r="D3" s="61"/>
      <c r="E3" s="61"/>
      <c r="F3" s="61"/>
      <c r="G3" s="61"/>
      <c r="H3" s="61"/>
      <c r="I3" s="61"/>
    </row>
    <row r="4" spans="2:17" s="10" customFormat="1" ht="16.149999999999999" thickBot="1" x14ac:dyDescent="0.5">
      <c r="B4" s="4" t="s">
        <v>0</v>
      </c>
      <c r="C4" s="5" t="s">
        <v>1</v>
      </c>
      <c r="D4" s="5" t="s">
        <v>44</v>
      </c>
      <c r="E4" s="5" t="s">
        <v>45</v>
      </c>
      <c r="F4" s="5" t="s">
        <v>46</v>
      </c>
      <c r="G4" s="5" t="s">
        <v>47</v>
      </c>
      <c r="H4" s="5" t="s">
        <v>48</v>
      </c>
      <c r="I4" s="5" t="s">
        <v>49</v>
      </c>
      <c r="J4" s="6" t="s">
        <v>50</v>
      </c>
      <c r="K4" s="6" t="s">
        <v>51</v>
      </c>
      <c r="L4" s="7" t="s">
        <v>52</v>
      </c>
      <c r="M4" s="6" t="s">
        <v>2</v>
      </c>
      <c r="N4" s="6" t="s">
        <v>3</v>
      </c>
      <c r="O4" s="7" t="s">
        <v>4</v>
      </c>
      <c r="P4" s="8"/>
      <c r="Q4" s="9" t="s">
        <v>5</v>
      </c>
    </row>
    <row r="5" spans="2:17" ht="16.149999999999999" thickBot="1" x14ac:dyDescent="0.55000000000000004">
      <c r="B5" s="11" t="s">
        <v>6</v>
      </c>
      <c r="C5" s="12"/>
      <c r="D5" s="12"/>
      <c r="E5" s="12"/>
      <c r="F5" s="12"/>
      <c r="G5" s="12"/>
      <c r="H5" s="12"/>
      <c r="I5" s="12"/>
      <c r="J5" s="12"/>
      <c r="K5" s="12"/>
      <c r="L5" s="13"/>
      <c r="M5" s="12"/>
      <c r="N5" s="12"/>
      <c r="O5" s="13"/>
      <c r="P5" s="14"/>
      <c r="Q5" s="15"/>
    </row>
    <row r="6" spans="2:17" x14ac:dyDescent="0.45">
      <c r="B6" s="16" t="s">
        <v>7</v>
      </c>
      <c r="C6" s="17">
        <v>10503.67</v>
      </c>
      <c r="D6" s="17"/>
      <c r="E6" s="18"/>
      <c r="F6" s="17"/>
      <c r="G6" s="17"/>
      <c r="H6" s="18"/>
      <c r="I6" s="17"/>
      <c r="J6" s="17"/>
      <c r="K6" s="17"/>
      <c r="L6" s="18"/>
      <c r="M6" s="17"/>
      <c r="N6" s="17"/>
      <c r="O6" s="18"/>
      <c r="P6" s="19"/>
      <c r="Q6" s="20">
        <f>SUM(C6:O6)</f>
        <v>10503.67</v>
      </c>
    </row>
    <row r="7" spans="2:17" x14ac:dyDescent="0.45">
      <c r="B7" s="21" t="s">
        <v>8</v>
      </c>
      <c r="C7" s="22"/>
      <c r="D7" s="22"/>
      <c r="E7" s="23"/>
      <c r="F7" s="22"/>
      <c r="G7" s="22"/>
      <c r="H7" s="23"/>
      <c r="I7" s="22"/>
      <c r="J7" s="22"/>
      <c r="K7" s="22"/>
      <c r="L7" s="23"/>
      <c r="M7" s="22"/>
      <c r="N7" s="22"/>
      <c r="O7" s="23"/>
      <c r="P7" s="19"/>
      <c r="Q7" s="24">
        <f>SUM(C7:O7)</f>
        <v>0</v>
      </c>
    </row>
    <row r="8" spans="2:17" x14ac:dyDescent="0.45">
      <c r="B8" s="21" t="s">
        <v>9</v>
      </c>
      <c r="C8" s="22"/>
      <c r="D8" s="22">
        <v>50000</v>
      </c>
      <c r="E8" s="23">
        <v>50000</v>
      </c>
      <c r="F8" s="22"/>
      <c r="G8" s="22"/>
      <c r="H8" s="23"/>
      <c r="I8" s="22"/>
      <c r="J8" s="22"/>
      <c r="K8" s="22"/>
      <c r="L8" s="23"/>
      <c r="M8" s="22"/>
      <c r="N8" s="22"/>
      <c r="O8" s="23"/>
      <c r="P8" s="19"/>
      <c r="Q8" s="24">
        <f>SUM(C8:O8)</f>
        <v>100000</v>
      </c>
    </row>
    <row r="9" spans="2:17" ht="15" customHeight="1" x14ac:dyDescent="0.45">
      <c r="B9" s="25" t="s">
        <v>10</v>
      </c>
      <c r="C9" s="26"/>
      <c r="D9" s="26"/>
      <c r="E9" s="27"/>
      <c r="F9" s="26"/>
      <c r="G9" s="26"/>
      <c r="H9" s="27"/>
      <c r="I9" s="26"/>
      <c r="J9" s="26"/>
      <c r="K9" s="26"/>
      <c r="L9" s="27"/>
      <c r="M9" s="26"/>
      <c r="N9" s="26"/>
      <c r="O9" s="27"/>
      <c r="P9" s="19"/>
      <c r="Q9" s="28">
        <f>SUM(C9:O9)</f>
        <v>0</v>
      </c>
    </row>
    <row r="10" spans="2:17" ht="1.5" customHeight="1" x14ac:dyDescent="0.45">
      <c r="B10" s="29"/>
      <c r="C10" s="30"/>
      <c r="D10" s="30"/>
      <c r="E10" s="31"/>
      <c r="F10" s="30"/>
      <c r="G10" s="30"/>
      <c r="H10" s="31"/>
      <c r="I10" s="30"/>
      <c r="J10" s="30"/>
      <c r="K10" s="30"/>
      <c r="L10" s="31"/>
      <c r="M10" s="30"/>
      <c r="N10" s="30"/>
      <c r="O10" s="31"/>
      <c r="P10" s="19"/>
      <c r="Q10" s="32"/>
    </row>
    <row r="11" spans="2:17" x14ac:dyDescent="0.45">
      <c r="B11" s="16" t="s">
        <v>11</v>
      </c>
      <c r="C11" s="17"/>
      <c r="D11" s="17">
        <f>4345.2+3744+12642+14520+12672+13728+11760+13680+2160+10800+11832+8268+11040+8052</f>
        <v>139243.20000000001</v>
      </c>
      <c r="E11" s="18">
        <f>11760+15840+15048+13728+15552+6960+10944+12642+9900+11880+13464+14784+13200+12480+6600+2100+8052+12720+10716+15840</f>
        <v>234210</v>
      </c>
      <c r="F11" s="17">
        <f>12936+12144+14520+15312+11880+5280+12000+13728+15312+10752+12600+25176+840+14706+10836+21090+12240+14784+982.8+15600+11880+6624+12600+11280+11400+11040+1260+13920+6000+11232+1392</f>
        <v>351346.8</v>
      </c>
      <c r="G11" s="17">
        <f>10800+125.52+13860+12720+600+12852+15600+11880+6600+10656+11760+13920+12480+14040+6588+20766+11556+14400+11400+7224+14400+10080+10584+10800+14256+14400+23184+12972+12000+6900</f>
        <v>349403.52</v>
      </c>
      <c r="H11" s="18">
        <f>12420+10080+12600+6900+4752+16146+15840+11136+11040+12000+6600+15180+13200+11520+14352+12054+13338+14628+11832+14352+15312+11628+12348+1651.2+7080+17940+840+14766+8052+2232+11352+15456+12960+16560+14076+9000+15120+10800+1440+12000+6600+11592+5700+10830</f>
        <v>485305.2</v>
      </c>
      <c r="I11" s="17">
        <f>7740+14490+13224+10488+12000+11856+6400.02+12540+9720+5550+6588+12084+12636+12960+11856+8736+8352+13338+12960+12540+840+21576+13110+10800+12198+11628+13876.8+12768+10260+1080+12144+8280+3480+10800+8448+5400+5700+10830+7560+9288</f>
        <v>406124.82</v>
      </c>
      <c r="J11" s="17">
        <f>9744+11100+11970+5520+228+1632+6300+10260+11856+18240+14820+12084+6762+12000+12540+8580+9936+11400+15444+11544+12096+22212+11136+10200+12198+6954+840+12744+12768+11400+14820+11628+12960+10260+4320+11592+12540+11880+2160+6600+4950+15444+13200+10200+10032</f>
        <v>467094</v>
      </c>
      <c r="K11" s="17">
        <f>11832+10488+11340+8820+10890+14520+15312+12000+13728+4410+10836+9600+13356+14040+13260+1929.6+7488+12000+840+7320+12960+23952+13200+13440+17160+12036+14124+13158+11760+11400+13260+11880+9780+21027+11424+15480+10179+9384+11400+13692+11880+11088+11088+13860</f>
        <v>522621.6</v>
      </c>
      <c r="L11" s="18">
        <v>487823.39</v>
      </c>
      <c r="M11" s="17"/>
      <c r="N11" s="17"/>
      <c r="O11" s="18"/>
      <c r="P11" s="19"/>
      <c r="Q11" s="20">
        <f>SUM(C11:O11)</f>
        <v>3443172.5300000003</v>
      </c>
    </row>
    <row r="12" spans="2:17" x14ac:dyDescent="0.45">
      <c r="B12" s="16" t="s">
        <v>12</v>
      </c>
      <c r="C12" s="17"/>
      <c r="D12" s="17"/>
      <c r="E12" s="18"/>
      <c r="F12" s="17"/>
      <c r="G12" s="17">
        <v>664</v>
      </c>
      <c r="H12" s="18"/>
      <c r="I12" s="17"/>
      <c r="J12" s="17"/>
      <c r="K12" s="17">
        <v>10230</v>
      </c>
      <c r="L12" s="18"/>
      <c r="M12" s="17"/>
      <c r="N12" s="17"/>
      <c r="O12" s="18"/>
      <c r="P12" s="19"/>
      <c r="Q12" s="20">
        <f>SUM(C12:O12)</f>
        <v>10894</v>
      </c>
    </row>
    <row r="13" spans="2:17" ht="14.65" thickBot="1" x14ac:dyDescent="0.5">
      <c r="B13" s="21" t="s">
        <v>13</v>
      </c>
      <c r="C13" s="22"/>
      <c r="D13" s="22"/>
      <c r="E13" s="23"/>
      <c r="F13" s="22"/>
      <c r="G13" s="22"/>
      <c r="H13" s="23"/>
      <c r="I13" s="22"/>
      <c r="J13" s="22"/>
      <c r="K13" s="22"/>
      <c r="L13" s="23"/>
      <c r="M13" s="22"/>
      <c r="N13" s="22"/>
      <c r="O13" s="23"/>
      <c r="P13" s="19"/>
      <c r="Q13" s="24">
        <f>SUM(C13:O13)</f>
        <v>0</v>
      </c>
    </row>
    <row r="14" spans="2:17" s="10" customFormat="1" ht="16.149999999999999" thickBot="1" x14ac:dyDescent="0.5">
      <c r="B14" s="33" t="s">
        <v>14</v>
      </c>
      <c r="C14" s="34">
        <f>SUM(C6:C13)</f>
        <v>10503.67</v>
      </c>
      <c r="D14" s="34">
        <f t="shared" ref="D14:O14" si="1">SUM(D6:D13)</f>
        <v>189243.2</v>
      </c>
      <c r="E14" s="34">
        <f t="shared" si="1"/>
        <v>284210</v>
      </c>
      <c r="F14" s="34">
        <f t="shared" si="1"/>
        <v>351346.8</v>
      </c>
      <c r="G14" s="34">
        <f t="shared" si="1"/>
        <v>350067.52</v>
      </c>
      <c r="H14" s="34">
        <f t="shared" si="1"/>
        <v>485305.2</v>
      </c>
      <c r="I14" s="34">
        <f t="shared" si="1"/>
        <v>406124.82</v>
      </c>
      <c r="J14" s="34">
        <f t="shared" si="1"/>
        <v>467094</v>
      </c>
      <c r="K14" s="34">
        <f t="shared" si="1"/>
        <v>532851.6</v>
      </c>
      <c r="L14" s="34">
        <f t="shared" si="1"/>
        <v>487823.39</v>
      </c>
      <c r="M14" s="34">
        <f t="shared" si="1"/>
        <v>0</v>
      </c>
      <c r="N14" s="34">
        <f t="shared" si="1"/>
        <v>0</v>
      </c>
      <c r="O14" s="34">
        <f t="shared" si="1"/>
        <v>0</v>
      </c>
      <c r="P14" s="35"/>
      <c r="Q14" s="36">
        <f>SUM(C14:O14)</f>
        <v>3564570.2</v>
      </c>
    </row>
    <row r="15" spans="2:17" ht="14.65" thickBot="1" x14ac:dyDescent="0.5"/>
    <row r="16" spans="2:17" ht="16.149999999999999" thickBot="1" x14ac:dyDescent="0.55000000000000004">
      <c r="B16" s="37" t="s">
        <v>15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62"/>
    </row>
    <row r="17" spans="2:17" x14ac:dyDescent="0.45">
      <c r="B17" s="39" t="s">
        <v>16</v>
      </c>
      <c r="C17" s="43"/>
      <c r="D17" s="43">
        <v>35.33</v>
      </c>
      <c r="E17" s="43"/>
      <c r="F17" s="43"/>
      <c r="G17" s="43">
        <v>1.1100000000000001</v>
      </c>
      <c r="H17" s="43">
        <f>968+0.3+0.3+0.3+0.3+(0.3*25)+0.3+0.3+0.3</f>
        <v>977.59999999999968</v>
      </c>
      <c r="I17" s="43">
        <f>6</f>
        <v>6</v>
      </c>
      <c r="J17" s="43">
        <f>7.2+2750+2+12.3</f>
        <v>2771.5</v>
      </c>
      <c r="K17" s="43">
        <f>7.2+2</f>
        <v>9.1999999999999993</v>
      </c>
      <c r="L17" s="43"/>
      <c r="M17" s="43"/>
      <c r="N17" s="43"/>
      <c r="O17" s="43"/>
      <c r="P17" s="40"/>
      <c r="Q17" s="41">
        <f t="shared" ref="Q17:Q44" si="2">+SUM(C17:O17)</f>
        <v>3800.74</v>
      </c>
    </row>
    <row r="18" spans="2:17" x14ac:dyDescent="0.45">
      <c r="B18" s="42" t="s">
        <v>17</v>
      </c>
      <c r="C18" s="43"/>
      <c r="D18" s="43">
        <v>38.54</v>
      </c>
      <c r="E18" s="43">
        <v>38.54</v>
      </c>
      <c r="F18" s="43">
        <v>38.54</v>
      </c>
      <c r="G18" s="43">
        <v>38.54</v>
      </c>
      <c r="H18" s="43">
        <v>38.54</v>
      </c>
      <c r="I18" s="43">
        <v>38.54</v>
      </c>
      <c r="J18" s="43">
        <v>38.54</v>
      </c>
      <c r="K18" s="43">
        <f>38.54</f>
        <v>38.54</v>
      </c>
      <c r="L18" s="43">
        <v>38.54</v>
      </c>
      <c r="M18" s="43"/>
      <c r="N18" s="43"/>
      <c r="O18" s="43"/>
      <c r="P18" s="40"/>
      <c r="Q18" s="41">
        <f t="shared" si="2"/>
        <v>346.86</v>
      </c>
    </row>
    <row r="19" spans="2:17" x14ac:dyDescent="0.45">
      <c r="B19" s="42" t="s">
        <v>18</v>
      </c>
      <c r="C19" s="43"/>
      <c r="D19" s="43"/>
      <c r="E19" s="43"/>
      <c r="F19" s="43">
        <v>3402</v>
      </c>
      <c r="G19" s="43"/>
      <c r="H19" s="43">
        <f>1260+60+252</f>
        <v>1572</v>
      </c>
      <c r="I19" s="43"/>
      <c r="J19" s="43">
        <f>126+60+756</f>
        <v>942</v>
      </c>
      <c r="K19" s="43"/>
      <c r="L19" s="43"/>
      <c r="M19" s="43"/>
      <c r="N19" s="43"/>
      <c r="O19" s="43"/>
      <c r="P19" s="40"/>
      <c r="Q19" s="41">
        <f t="shared" si="2"/>
        <v>5916</v>
      </c>
    </row>
    <row r="20" spans="2:17" x14ac:dyDescent="0.45">
      <c r="B20" s="42" t="s">
        <v>19</v>
      </c>
      <c r="C20" s="43"/>
      <c r="D20" s="43"/>
      <c r="E20" s="43"/>
      <c r="F20" s="43"/>
      <c r="G20" s="43"/>
      <c r="H20" s="43"/>
      <c r="I20" s="43">
        <v>4735.51</v>
      </c>
      <c r="J20" s="43"/>
      <c r="K20" s="43"/>
      <c r="L20" s="43"/>
      <c r="M20" s="43"/>
      <c r="N20" s="43"/>
      <c r="O20" s="43"/>
      <c r="P20" s="40"/>
      <c r="Q20" s="41">
        <f t="shared" si="2"/>
        <v>4735.51</v>
      </c>
    </row>
    <row r="21" spans="2:17" x14ac:dyDescent="0.45">
      <c r="B21" s="42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0"/>
      <c r="Q21" s="41">
        <f t="shared" si="2"/>
        <v>0</v>
      </c>
    </row>
    <row r="22" spans="2:17" x14ac:dyDescent="0.45">
      <c r="B22" s="42" t="s">
        <v>21</v>
      </c>
      <c r="C22" s="43"/>
      <c r="D22" s="43">
        <v>108</v>
      </c>
      <c r="E22" s="43">
        <v>216</v>
      </c>
      <c r="F22" s="43">
        <f>216+324</f>
        <v>540</v>
      </c>
      <c r="G22" s="43"/>
      <c r="H22" s="43">
        <v>324</v>
      </c>
      <c r="I22" s="43">
        <f>324+324</f>
        <v>648</v>
      </c>
      <c r="J22" s="43">
        <v>324</v>
      </c>
      <c r="K22" s="43"/>
      <c r="L22" s="43">
        <v>324</v>
      </c>
      <c r="M22" s="43"/>
      <c r="N22" s="43"/>
      <c r="O22" s="43"/>
      <c r="P22" s="40"/>
      <c r="Q22" s="41">
        <f t="shared" si="2"/>
        <v>2484</v>
      </c>
    </row>
    <row r="23" spans="2:17" x14ac:dyDescent="0.45"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7"/>
      <c r="P23" s="40"/>
      <c r="Q23" s="41">
        <f t="shared" si="2"/>
        <v>0</v>
      </c>
    </row>
    <row r="24" spans="2:17" x14ac:dyDescent="0.45">
      <c r="B24" s="44" t="s">
        <v>22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0"/>
      <c r="Q24" s="41">
        <f t="shared" si="2"/>
        <v>0</v>
      </c>
    </row>
    <row r="25" spans="2:17" x14ac:dyDescent="0.45">
      <c r="B25" s="45" t="s">
        <v>23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0"/>
      <c r="Q25" s="41">
        <f t="shared" si="2"/>
        <v>0</v>
      </c>
    </row>
    <row r="26" spans="2:17" x14ac:dyDescent="0.45">
      <c r="B26" s="45" t="s">
        <v>24</v>
      </c>
      <c r="C26" s="43"/>
      <c r="D26" s="43"/>
      <c r="E26" s="43">
        <v>6600</v>
      </c>
      <c r="F26" s="43">
        <v>6600</v>
      </c>
      <c r="G26" s="43"/>
      <c r="H26" s="43"/>
      <c r="I26" s="43">
        <f>12000+12000</f>
        <v>24000</v>
      </c>
      <c r="J26" s="43">
        <f>12000</f>
        <v>12000</v>
      </c>
      <c r="K26" s="43"/>
      <c r="L26" s="43">
        <v>12000</v>
      </c>
      <c r="M26" s="43"/>
      <c r="N26" s="43"/>
      <c r="O26" s="43"/>
      <c r="P26" s="40"/>
      <c r="Q26" s="41">
        <f t="shared" si="2"/>
        <v>61200</v>
      </c>
    </row>
    <row r="27" spans="2:17" ht="15" customHeight="1" x14ac:dyDescent="0.45">
      <c r="B27" s="45" t="s">
        <v>25</v>
      </c>
      <c r="C27" s="43"/>
      <c r="D27" s="43">
        <f>43.06+104.3+11.7+1.2+38.7+10.95+43.06</f>
        <v>252.96999999999997</v>
      </c>
      <c r="E27" s="43">
        <f>50.5+173+62+26.3+40.7+43+1.2+243+12.05</f>
        <v>651.75</v>
      </c>
      <c r="F27" s="43">
        <f>1.2+439+664+235.5</f>
        <v>1339.7</v>
      </c>
      <c r="G27" s="43">
        <f>55.37+1.2</f>
        <v>56.57</v>
      </c>
      <c r="H27" s="43">
        <f>53.82+7.16+1.28+1.2+23+5+7.16+46.7</f>
        <v>145.32</v>
      </c>
      <c r="I27" s="43">
        <f>36.9+22.98+8.5+5.99+12+1.2+54+33.8</f>
        <v>175.37</v>
      </c>
      <c r="J27" s="43">
        <f>4.32+5.14+47.38+1.2+3.37</f>
        <v>61.410000000000004</v>
      </c>
      <c r="K27" s="43">
        <f>1.2+53.26+48.18</f>
        <v>102.64</v>
      </c>
      <c r="L27" s="43"/>
      <c r="M27" s="43"/>
      <c r="N27" s="43"/>
      <c r="O27" s="43"/>
      <c r="P27" s="40"/>
      <c r="Q27" s="41">
        <f t="shared" si="2"/>
        <v>2785.73</v>
      </c>
    </row>
    <row r="28" spans="2:17" ht="15" customHeight="1" x14ac:dyDescent="0.45">
      <c r="B28" s="21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0"/>
      <c r="Q28" s="41">
        <f t="shared" si="2"/>
        <v>0</v>
      </c>
    </row>
    <row r="29" spans="2:17" x14ac:dyDescent="0.45">
      <c r="B29" s="46" t="s">
        <v>26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0"/>
      <c r="Q29" s="41">
        <f t="shared" si="2"/>
        <v>0</v>
      </c>
    </row>
    <row r="30" spans="2:17" x14ac:dyDescent="0.45">
      <c r="B30" s="46" t="s">
        <v>27</v>
      </c>
      <c r="C30" s="43"/>
      <c r="D30" s="43"/>
      <c r="E30" s="43"/>
      <c r="F30" s="43"/>
      <c r="G30" s="43"/>
      <c r="H30" s="43">
        <v>28803</v>
      </c>
      <c r="I30" s="43"/>
      <c r="J30" s="43"/>
      <c r="K30" s="43">
        <v>150651</v>
      </c>
      <c r="L30" s="43">
        <v>40000</v>
      </c>
      <c r="M30" s="43"/>
      <c r="N30" s="43"/>
      <c r="O30" s="43"/>
      <c r="P30" s="40"/>
      <c r="Q30" s="41">
        <f t="shared" si="2"/>
        <v>219454</v>
      </c>
    </row>
    <row r="31" spans="2:17" x14ac:dyDescent="0.45">
      <c r="B31" s="46" t="s">
        <v>28</v>
      </c>
      <c r="C31" s="43"/>
      <c r="D31" s="43"/>
      <c r="E31" s="43">
        <f>3900+6600</f>
        <v>10500</v>
      </c>
      <c r="F31" s="43">
        <f>2352+8550+13728+6600+12000</f>
        <v>43230</v>
      </c>
      <c r="G31" s="43">
        <f>9675+13728+12000+840+6600+1629.6+3500+6116.2</f>
        <v>54088.799999999996</v>
      </c>
      <c r="H31" s="43">
        <f>12000+8550+4656+1260+5400+14300+1080+12480+5350.94+10800+840+6600+5354.4</f>
        <v>88671.34</v>
      </c>
      <c r="I31" s="43">
        <f>840+5400+4306.8+1080</f>
        <v>11626.8</v>
      </c>
      <c r="J31" s="43">
        <f>2505+4050+4423.2+840+5700</f>
        <v>17518.2</v>
      </c>
      <c r="K31" s="43">
        <f>3600+11477.4</f>
        <v>15077.4</v>
      </c>
      <c r="L31" s="43"/>
      <c r="M31" s="43"/>
      <c r="N31" s="43"/>
      <c r="O31" s="43"/>
      <c r="P31" s="40"/>
      <c r="Q31" s="41">
        <f t="shared" si="2"/>
        <v>240712.53999999998</v>
      </c>
    </row>
    <row r="32" spans="2:17" x14ac:dyDescent="0.45">
      <c r="B32" s="21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0"/>
      <c r="Q32" s="41">
        <f t="shared" si="2"/>
        <v>0</v>
      </c>
    </row>
    <row r="33" spans="2:17" x14ac:dyDescent="0.45">
      <c r="B33" s="47" t="s">
        <v>29</v>
      </c>
      <c r="C33" s="43"/>
      <c r="D33" s="43">
        <f>5393.45+6963.42+3603.05+3845.76+4748.71+4800.83+4588.27+2682.2+4198.99+5330.69+4953.25+4540.36+5793.2+5737.17+5210.66+4871.86+5603.31+5622.89+5371.28+4740.09+4975.84+5889.62+4938.15+6612.4+4856.96</f>
        <v>125872.40999999999</v>
      </c>
      <c r="E33" s="43">
        <f>4740.09+4856.96+5889.62+4938.15+4975.84+6612.4+5371.28+3973.24+3724.6+6025.8+4996.03+2281.82+5393.45+3845.76+5055.27+4800.83+5737.17+5622.89+4198.99+4953.25+4544.7+5603.31+5330.69+5793.2+6962.33+5093.08+4841.69+4507.46+262.04+527.68+5217.98</f>
        <v>146677.6</v>
      </c>
      <c r="F33" s="43">
        <f>6962.33+5393.45+3973.24+3845.76+5093.08+5055.27+6025.8+4740.09+4800.83+4841.69+4856.96+5889.62+5622.89+4996.03+4938.15+5217.98+4198.99+6612.4+4953.25+4507.46+5371.28+5603.31+5330.69+5793.2+2535.12+4727.68+6072.82+3883.63+4592.51+4598.44+5457.37+5680.68+4846.9+1931.4+6227.2</f>
        <v>175177.5</v>
      </c>
      <c r="G33" s="43">
        <f>5393.45+4727.68+5093.08+5055.27+4800.83+4740.09+4841.69+4856.96+5889.62+5622.89+4996.03+4938.15+4198.99+6612.4+4953.25+4507.46+4598.44+5457.37+5371.28+5603.31+5330.69+5680.68+4846.9+1931.4+5793.2+2425.58+5962.33+5503.4+4529.47+2739.21+3890.93+5681.23+5524.33+5488.5+5307.33+7098.73</f>
        <v>179992.14999999997</v>
      </c>
      <c r="H33" s="43">
        <f>4800.83+4841.69+4856.96+5889.62+5622.89+4996.03+4938.15+5524.33+5488.5+7098.73+4198.99+4953.25+5307.33+4507.46+5457.37+5603.31+4846.9+5793.2+5393.45+4727.68+3890.93+5093.08+5681.23+4740.09+5555.27+3974.59+5301.98+4897.87+5680.68+1931.4+4598.44+5330.69+5960.71+5503.4+4529.47</f>
        <v>177516.49999999997</v>
      </c>
      <c r="I33" s="43">
        <f>5889.28+139.22+9222.1+5503.4+5393.45+4529.47+4727.68+5093.08+5555.27+5681.23+4740.09+4800.83+4841.69+4856.96+4996.03+4938.15+5524.33+4198.99+5307.33+4953.25+4507.46+4598.44+5457.37+5330.69+5680.68+4846.9+5921.5+5836.46+6167.99+7098.73+4799.57+4466.41+3801.71+1983.43+5783.4+4750.97+2865.45</f>
        <v>184788.99000000002</v>
      </c>
      <c r="J33" s="43">
        <f>151.94+5268.84+2372.9+7578.02+5581.61+4545.24+5119.8+5465.35+5064.82+4802.84+5737.77+5681.23+4689.38+3123.25+5173.91+5401.22+2376.16+5921.5+4529.47+4727.68+5555.27+4841.69+6167.99+4198.99+5307.33+4953.25+4507.46+5457.37+5680.68+4846.9+5364.26+1983.43+5066.59+5520.07+4569.12+4705.37+4796.95+5755.76+4994.98+5466.95+5058.16+4580.12+5241.99</f>
        <v>207933.61000000004</v>
      </c>
      <c r="K33" s="43">
        <f>4380.59+1701.39+5334.64+4725.8+10557.92+4443.17+4821.58+4745.53+5268.03+4687.14+4772.51+4545.24+4808.36+6951.1+5099.78+5398.95+5466.85+7087.81+3782.84+5303.33+4953.25+4502.05+4473.68+5064.82+4328.08+5191.59+4846.9+5676.56+5681.23+5921.5+5503.4+3656.54+4365.41+6167.99+4378.53+5177.96+5745.86+5680.68+1983.43+5468.8+4421.18+826.44</f>
        <v>207898.43999999997</v>
      </c>
      <c r="L33" s="43"/>
      <c r="M33" s="43"/>
      <c r="N33" s="43"/>
      <c r="O33" s="43"/>
      <c r="P33" s="40"/>
      <c r="Q33" s="41">
        <f t="shared" si="2"/>
        <v>1405857.2</v>
      </c>
    </row>
    <row r="34" spans="2:17" x14ac:dyDescent="0.45">
      <c r="B34" s="48" t="s">
        <v>30</v>
      </c>
      <c r="C34" s="43"/>
      <c r="D34" s="43"/>
      <c r="E34" s="43">
        <f>474.88+480.49+592.03+171.86+398.2+981.2+534.82+358.4+457.84+771.66+193.56</f>
        <v>5414.9400000000005</v>
      </c>
      <c r="F34" s="43">
        <f>597+440.8+500.52+118.98+248.14+568.6+313+118.98+384+892+301.71+586.2+649.54+358.4+338.56+720+671.55+491.92+553.17+279.33+308.82+291.7+592.03+892+212.2+158.64+384+372.9+610.51+710.6+345.48+474.88</f>
        <v>14486.16</v>
      </c>
      <c r="G34" s="43"/>
      <c r="H34" s="43">
        <f>597.42+441.09+328.14+247.8+219.95+544.31+257.08+893+324.58+153.34+384.24+324.91+711.12+331.2+369.28+441.09+473.32+217.3+259.94+470.26+289.12+893+312.76+167.28+294.48+287.43+518.13+358.4+423.14+597.42+261.5</f>
        <v>12392.029999999999</v>
      </c>
      <c r="I34" s="43">
        <f>675.96+236+494.94+390.36+643.05+516.06+1034+300.94+181.22+646.79+344.8+476.99</f>
        <v>5941.1100000000006</v>
      </c>
      <c r="J34" s="43">
        <f>264.22+319.91+506.98+374.89+623.6+244.5+279.93+459.04+154.53+299.92+569+364.77+940+277.3+421.3+167.28+471.28+337.41+389.48+290.4+279.52+261.57</f>
        <v>8296.83</v>
      </c>
      <c r="K34" s="43"/>
      <c r="L34" s="43"/>
      <c r="M34" s="43"/>
      <c r="N34" s="43"/>
      <c r="O34" s="43"/>
      <c r="P34" s="40"/>
      <c r="Q34" s="41">
        <f t="shared" si="2"/>
        <v>46531.07</v>
      </c>
    </row>
    <row r="35" spans="2:17" x14ac:dyDescent="0.45">
      <c r="B35" s="48" t="s">
        <v>31</v>
      </c>
      <c r="C35" s="43"/>
      <c r="D35" s="43"/>
      <c r="E35" s="43">
        <v>6000</v>
      </c>
      <c r="F35" s="43"/>
      <c r="G35" s="43"/>
      <c r="H35" s="43"/>
      <c r="I35" s="43"/>
      <c r="J35" s="43"/>
      <c r="K35" s="43">
        <v>3500</v>
      </c>
      <c r="L35" s="43">
        <v>4000</v>
      </c>
      <c r="M35" s="43"/>
      <c r="N35" s="43"/>
      <c r="O35" s="43"/>
      <c r="P35" s="40"/>
      <c r="Q35" s="41">
        <f t="shared" si="2"/>
        <v>13500</v>
      </c>
    </row>
    <row r="36" spans="2:17" x14ac:dyDescent="0.45">
      <c r="B36" s="48" t="s">
        <v>32</v>
      </c>
      <c r="C36" s="43"/>
      <c r="D36" s="43">
        <f>781.25+253.06+1528+1199.99+39.98+1479+25</f>
        <v>5306.2800000000007</v>
      </c>
      <c r="E36" s="43">
        <f>1609+1609+1990</f>
        <v>5208</v>
      </c>
      <c r="F36" s="43">
        <f>118.8+15+55.2+1179+583.2+31.83</f>
        <v>1983.03</v>
      </c>
      <c r="G36" s="43">
        <f>104.6+3945.73</f>
        <v>4050.33</v>
      </c>
      <c r="H36" s="43">
        <f>20+20</f>
        <v>40</v>
      </c>
      <c r="I36" s="43">
        <f>599+1139+159.99+1479+449</f>
        <v>3825.99</v>
      </c>
      <c r="J36" s="43">
        <f>202.9+20.99+129.99</f>
        <v>353.88</v>
      </c>
      <c r="K36" s="43">
        <f>99.51+899+2799</f>
        <v>3797.51</v>
      </c>
      <c r="L36" s="43"/>
      <c r="M36" s="43"/>
      <c r="N36" s="43"/>
      <c r="O36" s="43"/>
      <c r="P36" s="40"/>
      <c r="Q36" s="41">
        <f t="shared" si="2"/>
        <v>24565.019999999997</v>
      </c>
    </row>
    <row r="37" spans="2:17" x14ac:dyDescent="0.45">
      <c r="B37" s="48" t="s">
        <v>33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0"/>
      <c r="Q37" s="41">
        <f t="shared" si="2"/>
        <v>0</v>
      </c>
    </row>
    <row r="38" spans="2:17" x14ac:dyDescent="0.45">
      <c r="B38" s="48" t="s">
        <v>34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0"/>
      <c r="Q38" s="41">
        <f t="shared" si="2"/>
        <v>0</v>
      </c>
    </row>
    <row r="39" spans="2:17" x14ac:dyDescent="0.45">
      <c r="B39" s="49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0"/>
      <c r="Q39" s="41">
        <f t="shared" si="2"/>
        <v>0</v>
      </c>
    </row>
    <row r="40" spans="2:17" x14ac:dyDescent="0.45">
      <c r="B40" s="50" t="s">
        <v>35</v>
      </c>
      <c r="C40" s="43"/>
      <c r="D40" s="43">
        <v>28761</v>
      </c>
      <c r="E40" s="43">
        <v>54110</v>
      </c>
      <c r="F40" s="43">
        <v>63309</v>
      </c>
      <c r="G40" s="43">
        <v>74800</v>
      </c>
      <c r="H40" s="43">
        <v>78001</v>
      </c>
      <c r="I40" s="43">
        <f>76370+106</f>
        <v>76476</v>
      </c>
      <c r="J40" s="43">
        <v>79639</v>
      </c>
      <c r="K40" s="43">
        <v>86808</v>
      </c>
      <c r="L40" s="43"/>
      <c r="M40" s="43"/>
      <c r="N40" s="43"/>
      <c r="O40" s="43"/>
      <c r="P40" s="40"/>
      <c r="Q40" s="41">
        <f t="shared" si="2"/>
        <v>541904</v>
      </c>
    </row>
    <row r="41" spans="2:17" x14ac:dyDescent="0.45">
      <c r="B41" s="51" t="s">
        <v>36</v>
      </c>
      <c r="C41" s="43"/>
      <c r="D41" s="43">
        <f>1277.47+6157.76+11138.54</f>
        <v>18573.77</v>
      </c>
      <c r="E41" s="43"/>
      <c r="F41" s="43"/>
      <c r="G41" s="43">
        <f>23275.27+19960.77+27554.87</f>
        <v>70790.91</v>
      </c>
      <c r="H41" s="43">
        <v>28854.48</v>
      </c>
      <c r="I41" s="43">
        <v>28890.51</v>
      </c>
      <c r="J41" s="43">
        <v>30338.22</v>
      </c>
      <c r="K41" s="43">
        <v>33083.82</v>
      </c>
      <c r="L41" s="43"/>
      <c r="M41" s="43"/>
      <c r="N41" s="43"/>
      <c r="O41" s="43"/>
      <c r="P41" s="40"/>
      <c r="Q41" s="41">
        <f t="shared" si="2"/>
        <v>210531.71000000002</v>
      </c>
    </row>
    <row r="42" spans="2:17" x14ac:dyDescent="0.45">
      <c r="B42" s="51" t="s">
        <v>37</v>
      </c>
      <c r="C42" s="43"/>
      <c r="D42" s="43"/>
      <c r="E42" s="43">
        <v>1568.6</v>
      </c>
      <c r="F42" s="43"/>
      <c r="G42" s="43"/>
      <c r="H42" s="43">
        <v>6634.62</v>
      </c>
      <c r="I42" s="43"/>
      <c r="J42" s="43"/>
      <c r="K42" s="43">
        <v>8007.3</v>
      </c>
      <c r="L42" s="43"/>
      <c r="M42" s="43"/>
      <c r="N42" s="43"/>
      <c r="O42" s="43"/>
      <c r="P42" s="40"/>
      <c r="Q42" s="41">
        <f t="shared" si="2"/>
        <v>16210.52</v>
      </c>
    </row>
    <row r="43" spans="2:17" x14ac:dyDescent="0.45">
      <c r="B43" s="51" t="s">
        <v>38</v>
      </c>
      <c r="C43" s="43"/>
      <c r="D43" s="43">
        <v>1597.65</v>
      </c>
      <c r="E43" s="43"/>
      <c r="F43" s="43"/>
      <c r="G43" s="43"/>
      <c r="H43" s="43">
        <v>6466.56</v>
      </c>
      <c r="I43" s="43"/>
      <c r="J43" s="43"/>
      <c r="K43" s="43">
        <v>7969.21</v>
      </c>
      <c r="L43" s="43"/>
      <c r="M43" s="43"/>
      <c r="N43" s="43"/>
      <c r="O43" s="43"/>
      <c r="P43" s="40"/>
      <c r="Q43" s="41">
        <f t="shared" si="2"/>
        <v>16033.420000000002</v>
      </c>
    </row>
    <row r="44" spans="2:17" ht="14.65" thickBot="1" x14ac:dyDescent="0.5">
      <c r="B44" s="51" t="s">
        <v>39</v>
      </c>
      <c r="C44" s="43"/>
      <c r="D44" s="43">
        <v>4576</v>
      </c>
      <c r="E44" s="43">
        <v>8270</v>
      </c>
      <c r="F44" s="43">
        <v>9325</v>
      </c>
      <c r="G44" s="43">
        <f>9753</f>
        <v>9753</v>
      </c>
      <c r="H44" s="43">
        <v>11236</v>
      </c>
      <c r="I44" s="43">
        <v>12193</v>
      </c>
      <c r="J44" s="43">
        <v>13276</v>
      </c>
      <c r="K44" s="43">
        <f>15847</f>
        <v>15847</v>
      </c>
      <c r="L44" s="43"/>
      <c r="M44" s="43"/>
      <c r="N44" s="43"/>
      <c r="O44" s="43"/>
      <c r="P44" s="40"/>
      <c r="Q44" s="41">
        <f t="shared" si="2"/>
        <v>84476</v>
      </c>
    </row>
    <row r="45" spans="2:17" ht="16.149999999999999" thickBot="1" x14ac:dyDescent="0.55000000000000004">
      <c r="B45" s="52" t="s">
        <v>40</v>
      </c>
      <c r="C45" s="53">
        <f>+SUM(C17:C44)</f>
        <v>0</v>
      </c>
      <c r="D45" s="53">
        <f t="shared" ref="D45:O45" si="3">+SUM(D17:D44)</f>
        <v>185121.94999999998</v>
      </c>
      <c r="E45" s="53">
        <f t="shared" si="3"/>
        <v>245255.43000000002</v>
      </c>
      <c r="F45" s="53">
        <f t="shared" si="3"/>
        <v>319430.93</v>
      </c>
      <c r="G45" s="53">
        <f t="shared" si="3"/>
        <v>393571.40999999992</v>
      </c>
      <c r="H45" s="53">
        <f t="shared" si="3"/>
        <v>441672.98999999993</v>
      </c>
      <c r="I45" s="53">
        <f t="shared" si="3"/>
        <v>353345.82</v>
      </c>
      <c r="J45" s="53">
        <f t="shared" si="3"/>
        <v>373493.19000000006</v>
      </c>
      <c r="K45" s="53">
        <f t="shared" si="3"/>
        <v>532790.06000000006</v>
      </c>
      <c r="L45" s="53">
        <f t="shared" si="3"/>
        <v>56362.54</v>
      </c>
      <c r="M45" s="53">
        <f t="shared" si="3"/>
        <v>0</v>
      </c>
      <c r="N45" s="53">
        <f t="shared" si="3"/>
        <v>0</v>
      </c>
      <c r="O45" s="53">
        <f t="shared" si="3"/>
        <v>0</v>
      </c>
      <c r="P45" s="54"/>
      <c r="Q45" s="55">
        <f>+SUM(C45:O45)</f>
        <v>2901044.3200000003</v>
      </c>
    </row>
    <row r="46" spans="2:17" ht="14.65" thickBot="1" x14ac:dyDescent="0.5">
      <c r="B46" s="56"/>
      <c r="C46" s="57"/>
      <c r="D46" s="57"/>
      <c r="E46" s="57"/>
      <c r="F46" s="57"/>
      <c r="G46" s="57"/>
      <c r="H46" s="57"/>
      <c r="I46" s="57"/>
      <c r="J46" s="57"/>
      <c r="K46" s="57"/>
      <c r="M46" s="57"/>
      <c r="N46" s="57"/>
      <c r="P46" s="40"/>
    </row>
    <row r="47" spans="2:17" ht="15.75" x14ac:dyDescent="0.5">
      <c r="B47" s="63" t="s">
        <v>41</v>
      </c>
      <c r="C47" s="58">
        <f>C14-C45</f>
        <v>10503.67</v>
      </c>
      <c r="D47" s="58">
        <f t="shared" ref="D47:O47" si="4">D14-D45</f>
        <v>4121.2500000000291</v>
      </c>
      <c r="E47" s="58">
        <f t="shared" si="4"/>
        <v>38954.569999999978</v>
      </c>
      <c r="F47" s="58">
        <f t="shared" si="4"/>
        <v>31915.869999999995</v>
      </c>
      <c r="G47" s="58">
        <f t="shared" si="4"/>
        <v>-43503.889999999898</v>
      </c>
      <c r="H47" s="58">
        <f t="shared" si="4"/>
        <v>43632.210000000079</v>
      </c>
      <c r="I47" s="58">
        <f t="shared" si="4"/>
        <v>52779</v>
      </c>
      <c r="J47" s="58">
        <f t="shared" si="4"/>
        <v>93600.809999999939</v>
      </c>
      <c r="K47" s="58">
        <f t="shared" si="4"/>
        <v>61.539999999920838</v>
      </c>
      <c r="L47" s="58">
        <f t="shared" si="4"/>
        <v>431460.85000000003</v>
      </c>
      <c r="M47" s="58">
        <f t="shared" si="4"/>
        <v>0</v>
      </c>
      <c r="N47" s="58">
        <f t="shared" si="4"/>
        <v>0</v>
      </c>
      <c r="O47" s="58">
        <f t="shared" si="4"/>
        <v>0</v>
      </c>
      <c r="P47" s="59"/>
      <c r="Q47" s="60">
        <f>Q14-Q45</f>
        <v>663525.87999999989</v>
      </c>
    </row>
    <row r="48" spans="2:17" ht="16.149999999999999" thickBot="1" x14ac:dyDescent="0.55000000000000004">
      <c r="B48" s="64" t="s">
        <v>42</v>
      </c>
      <c r="C48" s="58">
        <f>C47</f>
        <v>10503.67</v>
      </c>
      <c r="D48" s="58">
        <f>C48+D47</f>
        <v>14624.920000000029</v>
      </c>
      <c r="E48" s="58">
        <f t="shared" ref="E48:O48" si="5">D48+E47</f>
        <v>53579.490000000005</v>
      </c>
      <c r="F48" s="58">
        <f t="shared" si="5"/>
        <v>85495.360000000001</v>
      </c>
      <c r="G48" s="58">
        <f t="shared" si="5"/>
        <v>41991.470000000103</v>
      </c>
      <c r="H48" s="58">
        <f t="shared" si="5"/>
        <v>85623.680000000182</v>
      </c>
      <c r="I48" s="58">
        <f t="shared" si="5"/>
        <v>138402.68000000017</v>
      </c>
      <c r="J48" s="58">
        <f t="shared" si="5"/>
        <v>232003.49000000011</v>
      </c>
      <c r="K48" s="58">
        <f t="shared" si="5"/>
        <v>232065.03000000003</v>
      </c>
      <c r="L48" s="58">
        <f t="shared" si="5"/>
        <v>663525.88000000012</v>
      </c>
      <c r="M48" s="58">
        <f t="shared" si="5"/>
        <v>663525.88000000012</v>
      </c>
      <c r="N48" s="58">
        <f t="shared" si="5"/>
        <v>663525.88000000012</v>
      </c>
      <c r="O48" s="58">
        <f t="shared" si="5"/>
        <v>663525.88000000012</v>
      </c>
      <c r="P48" s="59"/>
      <c r="Q48" s="60"/>
    </row>
  </sheetData>
  <mergeCells count="1">
    <mergeCell ref="B2:C3"/>
  </mergeCells>
  <conditionalFormatting sqref="C47:Q48">
    <cfRule type="cellIs" dxfId="11" priority="1" operator="lessThan">
      <formula>0</formula>
    </cfRule>
    <cfRule type="cellIs" dxfId="10" priority="2" operator="greaterThan">
      <formula>0</formula>
    </cfRule>
  </conditionalFormatting>
  <conditionalFormatting sqref="Q45">
    <cfRule type="cellIs" dxfId="9" priority="3" operator="greaterThan">
      <formula>0</formula>
    </cfRule>
    <cfRule type="cellIs" dxfId="8" priority="4" operator="lessThan">
      <formula>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9EE39-E18F-44FD-94FE-B97C9D88F3B1}">
  <dimension ref="B1:Q48"/>
  <sheetViews>
    <sheetView topLeftCell="D3" workbookViewId="0">
      <selection activeCell="O34" sqref="O34"/>
    </sheetView>
  </sheetViews>
  <sheetFormatPr baseColWidth="10" defaultColWidth="9.1328125" defaultRowHeight="14.25" x14ac:dyDescent="0.45"/>
  <cols>
    <col min="1" max="1" width="4.1328125" style="3" customWidth="1"/>
    <col min="2" max="2" width="37.1328125" style="3" bestFit="1" customWidth="1"/>
    <col min="3" max="3" width="16.53125" style="2" customWidth="1"/>
    <col min="4" max="4" width="16.46484375" style="2" customWidth="1"/>
    <col min="5" max="9" width="16.53125" style="2" customWidth="1"/>
    <col min="10" max="11" width="16.46484375" style="2" bestFit="1" customWidth="1"/>
    <col min="12" max="14" width="15.46484375" style="2" bestFit="1" customWidth="1"/>
    <col min="15" max="15" width="15.19921875" style="2" bestFit="1" customWidth="1"/>
    <col min="16" max="16" width="0.33203125" customWidth="1"/>
    <col min="17" max="17" width="15.46484375" style="2" bestFit="1" customWidth="1"/>
    <col min="18" max="16384" width="9.1328125" style="3"/>
  </cols>
  <sheetData>
    <row r="1" spans="2:17" x14ac:dyDescent="0.45">
      <c r="B1" s="71" t="s">
        <v>62</v>
      </c>
    </row>
    <row r="2" spans="2:17" ht="18" x14ac:dyDescent="0.45">
      <c r="B2" s="79" t="s">
        <v>43</v>
      </c>
      <c r="C2" s="79"/>
      <c r="D2" s="1">
        <f t="shared" ref="D2:O2" si="0">+D48</f>
        <v>14624.920000000029</v>
      </c>
      <c r="E2" s="1">
        <f t="shared" si="0"/>
        <v>53579.490000000005</v>
      </c>
      <c r="F2" s="1">
        <f t="shared" si="0"/>
        <v>85495.360000000001</v>
      </c>
      <c r="G2" s="1">
        <f t="shared" si="0"/>
        <v>41991.470000000103</v>
      </c>
      <c r="H2" s="1">
        <f t="shared" si="0"/>
        <v>85623.680000000182</v>
      </c>
      <c r="I2" s="1">
        <f t="shared" si="0"/>
        <v>138402.68000000017</v>
      </c>
      <c r="J2" s="1">
        <f t="shared" si="0"/>
        <v>232003.49000000011</v>
      </c>
      <c r="K2" s="1">
        <f t="shared" si="0"/>
        <v>218205.03000000003</v>
      </c>
      <c r="L2" s="1">
        <f t="shared" si="0"/>
        <v>88755.810000000056</v>
      </c>
      <c r="M2" s="1">
        <f t="shared" si="0"/>
        <v>88998.770000000077</v>
      </c>
      <c r="N2" s="1">
        <f t="shared" si="0"/>
        <v>88998.770000000077</v>
      </c>
      <c r="O2" s="1">
        <f t="shared" si="0"/>
        <v>88998.770000000077</v>
      </c>
      <c r="P2" s="2">
        <f>P48</f>
        <v>0</v>
      </c>
    </row>
    <row r="3" spans="2:17" ht="28.9" thickBot="1" x14ac:dyDescent="0.5">
      <c r="B3" s="80"/>
      <c r="C3" s="80"/>
      <c r="D3" s="61"/>
      <c r="E3" s="61"/>
      <c r="F3" s="61"/>
      <c r="G3" s="61"/>
      <c r="H3" s="61"/>
      <c r="I3" s="61"/>
    </row>
    <row r="4" spans="2:17" s="10" customFormat="1" ht="16.149999999999999" thickBot="1" x14ac:dyDescent="0.5">
      <c r="B4" s="4" t="s">
        <v>0</v>
      </c>
      <c r="C4" s="5" t="s">
        <v>1</v>
      </c>
      <c r="D4" s="5" t="s">
        <v>44</v>
      </c>
      <c r="E4" s="5" t="s">
        <v>45</v>
      </c>
      <c r="F4" s="5" t="s">
        <v>46</v>
      </c>
      <c r="G4" s="5" t="s">
        <v>47</v>
      </c>
      <c r="H4" s="5" t="s">
        <v>48</v>
      </c>
      <c r="I4" s="5" t="s">
        <v>49</v>
      </c>
      <c r="J4" s="6" t="s">
        <v>50</v>
      </c>
      <c r="K4" s="6" t="s">
        <v>51</v>
      </c>
      <c r="L4" s="7" t="s">
        <v>52</v>
      </c>
      <c r="M4" s="6" t="s">
        <v>2</v>
      </c>
      <c r="N4" s="6" t="s">
        <v>3</v>
      </c>
      <c r="O4" s="7" t="s">
        <v>4</v>
      </c>
      <c r="P4" s="8"/>
      <c r="Q4" s="9" t="s">
        <v>5</v>
      </c>
    </row>
    <row r="5" spans="2:17" ht="16.149999999999999" thickBot="1" x14ac:dyDescent="0.55000000000000004">
      <c r="B5" s="11" t="s">
        <v>6</v>
      </c>
      <c r="C5" s="12"/>
      <c r="D5" s="12"/>
      <c r="E5" s="12"/>
      <c r="F5" s="12"/>
      <c r="G5" s="12"/>
      <c r="H5" s="12"/>
      <c r="I5" s="12"/>
      <c r="J5" s="12"/>
      <c r="K5" s="12"/>
      <c r="L5" s="13"/>
      <c r="M5" s="12"/>
      <c r="N5" s="12"/>
      <c r="O5" s="13"/>
      <c r="P5" s="14"/>
      <c r="Q5" s="15"/>
    </row>
    <row r="6" spans="2:17" x14ac:dyDescent="0.45">
      <c r="B6" s="16" t="s">
        <v>7</v>
      </c>
      <c r="C6" s="17">
        <v>10503.67</v>
      </c>
      <c r="D6" s="17"/>
      <c r="E6" s="18"/>
      <c r="F6" s="17"/>
      <c r="G6" s="17"/>
      <c r="H6" s="18"/>
      <c r="I6" s="17"/>
      <c r="J6" s="17"/>
      <c r="K6" s="17"/>
      <c r="L6" s="18"/>
      <c r="M6" s="17"/>
      <c r="N6" s="17"/>
      <c r="O6" s="18"/>
      <c r="P6" s="19"/>
      <c r="Q6" s="20">
        <f>SUM(C6:O6)</f>
        <v>10503.67</v>
      </c>
    </row>
    <row r="7" spans="2:17" x14ac:dyDescent="0.45">
      <c r="B7" s="21" t="s">
        <v>8</v>
      </c>
      <c r="C7" s="22"/>
      <c r="D7" s="22"/>
      <c r="E7" s="23"/>
      <c r="F7" s="22"/>
      <c r="G7" s="22"/>
      <c r="H7" s="23"/>
      <c r="I7" s="22"/>
      <c r="J7" s="22"/>
      <c r="K7" s="22"/>
      <c r="L7" s="23"/>
      <c r="M7" s="22"/>
      <c r="N7" s="22"/>
      <c r="O7" s="23"/>
      <c r="P7" s="19"/>
      <c r="Q7" s="24">
        <f>SUM(C7:O7)</f>
        <v>0</v>
      </c>
    </row>
    <row r="8" spans="2:17" x14ac:dyDescent="0.45">
      <c r="B8" s="21" t="s">
        <v>9</v>
      </c>
      <c r="C8" s="22"/>
      <c r="D8" s="22">
        <v>50000</v>
      </c>
      <c r="E8" s="23">
        <v>50000</v>
      </c>
      <c r="F8" s="22"/>
      <c r="G8" s="22"/>
      <c r="H8" s="23"/>
      <c r="I8" s="22"/>
      <c r="J8" s="22"/>
      <c r="K8" s="22"/>
      <c r="L8" s="23"/>
      <c r="M8" s="22"/>
      <c r="N8" s="22"/>
      <c r="O8" s="23"/>
      <c r="P8" s="19"/>
      <c r="Q8" s="24">
        <f>SUM(C8:O8)</f>
        <v>100000</v>
      </c>
    </row>
    <row r="9" spans="2:17" ht="15" customHeight="1" x14ac:dyDescent="0.45">
      <c r="B9" s="25" t="s">
        <v>10</v>
      </c>
      <c r="C9" s="26"/>
      <c r="D9" s="26"/>
      <c r="E9" s="27"/>
      <c r="F9" s="26"/>
      <c r="G9" s="26"/>
      <c r="H9" s="27"/>
      <c r="I9" s="26"/>
      <c r="J9" s="26"/>
      <c r="K9" s="26"/>
      <c r="L9" s="27"/>
      <c r="M9" s="26"/>
      <c r="N9" s="26"/>
      <c r="O9" s="27"/>
      <c r="P9" s="19"/>
      <c r="Q9" s="28">
        <f>SUM(C9:O9)</f>
        <v>0</v>
      </c>
    </row>
    <row r="10" spans="2:17" ht="1.5" customHeight="1" x14ac:dyDescent="0.45">
      <c r="B10" s="29"/>
      <c r="C10" s="30"/>
      <c r="D10" s="30"/>
      <c r="E10" s="31"/>
      <c r="F10" s="30"/>
      <c r="G10" s="30"/>
      <c r="H10" s="31"/>
      <c r="I10" s="30"/>
      <c r="J10" s="30"/>
      <c r="K10" s="30"/>
      <c r="L10" s="31"/>
      <c r="M10" s="30"/>
      <c r="N10" s="30"/>
      <c r="O10" s="31"/>
      <c r="P10" s="19"/>
      <c r="Q10" s="32"/>
    </row>
    <row r="11" spans="2:17" x14ac:dyDescent="0.45">
      <c r="B11" s="16" t="s">
        <v>11</v>
      </c>
      <c r="C11" s="17"/>
      <c r="D11" s="17">
        <f>4345.2+3744+12642+14520+12672+13728+11760+13680+2160+10800+11832+8268+11040+8052</f>
        <v>139243.20000000001</v>
      </c>
      <c r="E11" s="18">
        <f>11760+15840+15048+13728+15552+6960+10944+12642+9900+11880+13464+14784+13200+12480+6600+2100+8052+12720+10716+15840</f>
        <v>234210</v>
      </c>
      <c r="F11" s="17">
        <f>12936+12144+14520+15312+11880+5280+12000+13728+15312+10752+12600+25176+840+14706+10836+21090+12240+14784+982.8+15600+11880+6624+12600+11280+11400+11040+1260+13920+6000+11232+1392</f>
        <v>351346.8</v>
      </c>
      <c r="G11" s="17">
        <f>10800+125.52+13860+12720+600+12852+15600+11880+6600+10656+11760+13920+12480+14040+6588+20766+11556+14400+11400+7224+14400+10080+10584+10800+14256+14400+23184+12972+12000+6900</f>
        <v>349403.52</v>
      </c>
      <c r="H11" s="18">
        <f>12420+10080+12600+6900+4752+16146+15840+11136+11040+12000+6600+15180+13200+11520+14352+12054+13338+14628+11832+14352+15312+11628+12348+1651.2+7080+17940+840+14766+8052+2232+11352+15456+12960+16560+14076+9000+15120+10800+1440+12000+6600+11592+5700+10830</f>
        <v>485305.2</v>
      </c>
      <c r="I11" s="17">
        <f>7740+14490+13224+10488+12000+11856+6400.02+12540+9720+5550+6588+12084+12636+12960+11856+8736+8352+13338+12960+12540+840+21576+13110+10800+12198+11628+13876.8+12768+10260+1080+12144+8280+3480+10800+8448+5400+5700+10830+7560+9288</f>
        <v>406124.82</v>
      </c>
      <c r="J11" s="17">
        <f>9744+11100+11970+5520+228+1632+6300+10260+11856+18240+14820+12084+6762+12000+12540+8580+9936+11400+15444+11544+12096+22212+11136+10200+12198+6954+840+12744+12768+11400+14820+11628+12960+10260+4320+11592+12540+11880+2160+6600+4950+15444+13200+10200+10032</f>
        <v>467094</v>
      </c>
      <c r="K11" s="17">
        <f>11832+10488+11340+8820+10890+14520+15312+12000+13728+4410+10836+9600+13356+14040+13260+1929.6+7488+12000+840+7320+12960+23952+13200+13440+17160+12036+14124+13158+11760+11400+13260+11880+9780+21027+11424+15480+10179+9384+11400+13692+11880+11088+11088</f>
        <v>508761.59999999998</v>
      </c>
      <c r="L11" s="18">
        <f>13860+4644+6399.51+14400+12480+7020+9384+10440+13200+12480+12000+12987+11172+4500+12720+5610+12348+10200+5616+12480+12840+840+7137+20328+12240+9360+9000+11700+7392+5400+13680+10620+13200+5814+12960+4968+10200+12636+13608+7020+14400+6192+10800+8064+1080+6150+4752+13608</f>
        <v>469929.51</v>
      </c>
      <c r="M11" s="17">
        <v>516241.51</v>
      </c>
      <c r="N11" s="17"/>
      <c r="O11" s="18"/>
      <c r="P11" s="19"/>
      <c r="Q11" s="20">
        <f>SUM(C11:O11)</f>
        <v>3927660.16</v>
      </c>
    </row>
    <row r="12" spans="2:17" x14ac:dyDescent="0.45">
      <c r="B12" s="16" t="s">
        <v>12</v>
      </c>
      <c r="C12" s="17"/>
      <c r="D12" s="17"/>
      <c r="E12" s="18"/>
      <c r="F12" s="17"/>
      <c r="G12" s="17">
        <v>664</v>
      </c>
      <c r="H12" s="18"/>
      <c r="I12" s="17"/>
      <c r="J12" s="17"/>
      <c r="K12" s="17">
        <v>10230</v>
      </c>
      <c r="L12" s="18"/>
      <c r="M12" s="17"/>
      <c r="N12" s="17"/>
      <c r="O12" s="18"/>
      <c r="P12" s="19"/>
      <c r="Q12" s="20">
        <f>SUM(C12:O12)</f>
        <v>10894</v>
      </c>
    </row>
    <row r="13" spans="2:17" ht="14.65" thickBot="1" x14ac:dyDescent="0.5">
      <c r="B13" s="21" t="s">
        <v>13</v>
      </c>
      <c r="C13" s="22"/>
      <c r="D13" s="22"/>
      <c r="E13" s="23"/>
      <c r="F13" s="22"/>
      <c r="G13" s="22"/>
      <c r="H13" s="23"/>
      <c r="I13" s="22"/>
      <c r="J13" s="22"/>
      <c r="K13" s="22"/>
      <c r="L13" s="23"/>
      <c r="M13" s="22"/>
      <c r="N13" s="22"/>
      <c r="O13" s="23"/>
      <c r="P13" s="19"/>
      <c r="Q13" s="24">
        <f>SUM(C13:O13)</f>
        <v>0</v>
      </c>
    </row>
    <row r="14" spans="2:17" s="10" customFormat="1" ht="16.149999999999999" thickBot="1" x14ac:dyDescent="0.5">
      <c r="B14" s="33" t="s">
        <v>14</v>
      </c>
      <c r="C14" s="34">
        <f>SUM(C6:C13)</f>
        <v>10503.67</v>
      </c>
      <c r="D14" s="34">
        <f t="shared" ref="D14:O14" si="1">SUM(D6:D13)</f>
        <v>189243.2</v>
      </c>
      <c r="E14" s="34">
        <f t="shared" si="1"/>
        <v>284210</v>
      </c>
      <c r="F14" s="34">
        <f t="shared" si="1"/>
        <v>351346.8</v>
      </c>
      <c r="G14" s="34">
        <f t="shared" si="1"/>
        <v>350067.52</v>
      </c>
      <c r="H14" s="34">
        <f t="shared" si="1"/>
        <v>485305.2</v>
      </c>
      <c r="I14" s="34">
        <f t="shared" si="1"/>
        <v>406124.82</v>
      </c>
      <c r="J14" s="34">
        <f t="shared" si="1"/>
        <v>467094</v>
      </c>
      <c r="K14" s="34">
        <f t="shared" si="1"/>
        <v>518991.6</v>
      </c>
      <c r="L14" s="34">
        <f t="shared" si="1"/>
        <v>469929.51</v>
      </c>
      <c r="M14" s="34">
        <f t="shared" si="1"/>
        <v>516241.51</v>
      </c>
      <c r="N14" s="34">
        <f t="shared" si="1"/>
        <v>0</v>
      </c>
      <c r="O14" s="34">
        <f t="shared" si="1"/>
        <v>0</v>
      </c>
      <c r="P14" s="35"/>
      <c r="Q14" s="36">
        <f>SUM(C14:O14)</f>
        <v>4049057.83</v>
      </c>
    </row>
    <row r="15" spans="2:17" ht="14.65" thickBot="1" x14ac:dyDescent="0.5"/>
    <row r="16" spans="2:17" ht="16.149999999999999" thickBot="1" x14ac:dyDescent="0.55000000000000004">
      <c r="B16" s="37" t="s">
        <v>15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62"/>
    </row>
    <row r="17" spans="2:17" x14ac:dyDescent="0.45">
      <c r="B17" s="39" t="s">
        <v>16</v>
      </c>
      <c r="C17" s="43"/>
      <c r="D17" s="43">
        <v>35.33</v>
      </c>
      <c r="E17" s="43"/>
      <c r="F17" s="43"/>
      <c r="G17" s="43">
        <v>1.1100000000000001</v>
      </c>
      <c r="H17" s="43">
        <f>968+0.3+0.3+0.3+0.3+(0.3*25)+0.3+0.3+0.3</f>
        <v>977.59999999999968</v>
      </c>
      <c r="I17" s="43">
        <f>6</f>
        <v>6</v>
      </c>
      <c r="J17" s="43">
        <f>7.2+2750+2+12.3</f>
        <v>2771.5</v>
      </c>
      <c r="K17" s="43">
        <f>7.2+2</f>
        <v>9.1999999999999993</v>
      </c>
      <c r="L17" s="43">
        <f>7.2+7320+2+0.3+0.3+0.3+0.3+0.3+0.3+0.3+0.3+0.3+0.3+0.3+0.3+0.3+0.3+0.3+0.3+0.3+0.3+0.3+0.3+0.3+0.3+0.3+0.3</f>
        <v>7336.4000000000042</v>
      </c>
      <c r="M17" s="43"/>
      <c r="N17" s="43"/>
      <c r="O17" s="43"/>
      <c r="P17" s="40"/>
      <c r="Q17" s="41">
        <f t="shared" ref="Q17:Q44" si="2">+SUM(C17:O17)</f>
        <v>11137.140000000003</v>
      </c>
    </row>
    <row r="18" spans="2:17" x14ac:dyDescent="0.45">
      <c r="B18" s="42" t="s">
        <v>17</v>
      </c>
      <c r="C18" s="43"/>
      <c r="D18" s="43">
        <v>38.54</v>
      </c>
      <c r="E18" s="43">
        <v>38.54</v>
      </c>
      <c r="F18" s="43">
        <v>38.54</v>
      </c>
      <c r="G18" s="43">
        <v>38.54</v>
      </c>
      <c r="H18" s="43">
        <v>38.54</v>
      </c>
      <c r="I18" s="43">
        <v>38.54</v>
      </c>
      <c r="J18" s="43">
        <v>38.54</v>
      </c>
      <c r="K18" s="43">
        <f>38.54</f>
        <v>38.54</v>
      </c>
      <c r="L18" s="43">
        <v>38.54</v>
      </c>
      <c r="M18" s="43"/>
      <c r="N18" s="43"/>
      <c r="O18" s="43"/>
      <c r="P18" s="40"/>
      <c r="Q18" s="41">
        <f t="shared" si="2"/>
        <v>346.86</v>
      </c>
    </row>
    <row r="19" spans="2:17" x14ac:dyDescent="0.45">
      <c r="B19" s="42" t="s">
        <v>18</v>
      </c>
      <c r="C19" s="43"/>
      <c r="D19" s="43"/>
      <c r="E19" s="43"/>
      <c r="F19" s="43">
        <v>3402</v>
      </c>
      <c r="G19" s="43"/>
      <c r="H19" s="43">
        <f>1260+60+252</f>
        <v>1572</v>
      </c>
      <c r="I19" s="43"/>
      <c r="J19" s="43">
        <f>126+60+756</f>
        <v>942</v>
      </c>
      <c r="K19" s="43"/>
      <c r="L19" s="43">
        <v>378</v>
      </c>
      <c r="M19" s="43">
        <f>252</f>
        <v>252</v>
      </c>
      <c r="N19" s="43"/>
      <c r="O19" s="43"/>
      <c r="P19" s="40"/>
      <c r="Q19" s="41">
        <f t="shared" si="2"/>
        <v>6546</v>
      </c>
    </row>
    <row r="20" spans="2:17" x14ac:dyDescent="0.45">
      <c r="B20" s="42" t="s">
        <v>19</v>
      </c>
      <c r="C20" s="43"/>
      <c r="D20" s="43"/>
      <c r="E20" s="43"/>
      <c r="F20" s="43"/>
      <c r="G20" s="43"/>
      <c r="H20" s="43"/>
      <c r="I20" s="43">
        <v>4735.51</v>
      </c>
      <c r="J20" s="43"/>
      <c r="K20" s="43"/>
      <c r="L20" s="43">
        <f>1825.55</f>
        <v>1825.55</v>
      </c>
      <c r="M20" s="43"/>
      <c r="N20" s="43"/>
      <c r="O20" s="43"/>
      <c r="P20" s="40"/>
      <c r="Q20" s="41">
        <f t="shared" si="2"/>
        <v>6561.06</v>
      </c>
    </row>
    <row r="21" spans="2:17" x14ac:dyDescent="0.45">
      <c r="B21" s="42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>
        <f>399.6+464.4+327.6</f>
        <v>1191.5999999999999</v>
      </c>
      <c r="N21" s="43"/>
      <c r="O21" s="43"/>
      <c r="P21" s="40"/>
      <c r="Q21" s="41">
        <f t="shared" si="2"/>
        <v>1191.5999999999999</v>
      </c>
    </row>
    <row r="22" spans="2:17" x14ac:dyDescent="0.45">
      <c r="B22" s="42" t="s">
        <v>21</v>
      </c>
      <c r="C22" s="43"/>
      <c r="D22" s="43">
        <v>108</v>
      </c>
      <c r="E22" s="43">
        <v>216</v>
      </c>
      <c r="F22" s="43">
        <f>216+324</f>
        <v>540</v>
      </c>
      <c r="G22" s="43"/>
      <c r="H22" s="43">
        <v>324</v>
      </c>
      <c r="I22" s="43">
        <f>324+324</f>
        <v>648</v>
      </c>
      <c r="J22" s="43">
        <v>324</v>
      </c>
      <c r="K22" s="43"/>
      <c r="L22" s="43">
        <v>324</v>
      </c>
      <c r="M22" s="43">
        <v>324</v>
      </c>
      <c r="N22" s="43"/>
      <c r="O22" s="43"/>
      <c r="P22" s="40"/>
      <c r="Q22" s="41">
        <f t="shared" si="2"/>
        <v>2808</v>
      </c>
    </row>
    <row r="23" spans="2:17" x14ac:dyDescent="0.45"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7"/>
      <c r="P23" s="40"/>
      <c r="Q23" s="41">
        <f t="shared" si="2"/>
        <v>0</v>
      </c>
    </row>
    <row r="24" spans="2:17" x14ac:dyDescent="0.45">
      <c r="B24" s="44" t="s">
        <v>22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0"/>
      <c r="Q24" s="41">
        <f t="shared" si="2"/>
        <v>0</v>
      </c>
    </row>
    <row r="25" spans="2:17" x14ac:dyDescent="0.45">
      <c r="B25" s="45" t="s">
        <v>23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0"/>
      <c r="Q25" s="41">
        <f t="shared" si="2"/>
        <v>0</v>
      </c>
    </row>
    <row r="26" spans="2:17" x14ac:dyDescent="0.45">
      <c r="B26" s="45" t="s">
        <v>24</v>
      </c>
      <c r="C26" s="43"/>
      <c r="D26" s="43"/>
      <c r="E26" s="43">
        <v>6600</v>
      </c>
      <c r="F26" s="43">
        <v>6600</v>
      </c>
      <c r="G26" s="43"/>
      <c r="H26" s="43"/>
      <c r="I26" s="43">
        <f>12000+12000</f>
        <v>24000</v>
      </c>
      <c r="J26" s="43">
        <f>12000</f>
        <v>12000</v>
      </c>
      <c r="K26" s="43"/>
      <c r="L26" s="43">
        <f>12000+12000</f>
        <v>24000</v>
      </c>
      <c r="M26" s="43"/>
      <c r="N26" s="43"/>
      <c r="O26" s="43"/>
      <c r="P26" s="40"/>
      <c r="Q26" s="41">
        <f t="shared" si="2"/>
        <v>73200</v>
      </c>
    </row>
    <row r="27" spans="2:17" ht="15" customHeight="1" x14ac:dyDescent="0.45">
      <c r="B27" s="45" t="s">
        <v>25</v>
      </c>
      <c r="C27" s="43"/>
      <c r="D27" s="43">
        <f>43.06+104.3+11.7+1.2+38.7+10.95+43.06</f>
        <v>252.96999999999997</v>
      </c>
      <c r="E27" s="43">
        <f>50.5+173+62+26.3+40.7+43+1.2+243+12.05</f>
        <v>651.75</v>
      </c>
      <c r="F27" s="43">
        <f>1.2+439+664+235.5</f>
        <v>1339.7</v>
      </c>
      <c r="G27" s="43">
        <f>55.37+1.2</f>
        <v>56.57</v>
      </c>
      <c r="H27" s="43">
        <f>53.82+7.16+1.28+1.2+23+5+7.16+46.7</f>
        <v>145.32</v>
      </c>
      <c r="I27" s="43">
        <f>36.9+22.98+8.5+5.99+12+1.2+54+33.8</f>
        <v>175.37</v>
      </c>
      <c r="J27" s="43">
        <f>4.32+5.14+47.38+1.2+3.37</f>
        <v>61.410000000000004</v>
      </c>
      <c r="K27" s="43">
        <f>1.2+53.26+48.18</f>
        <v>102.64</v>
      </c>
      <c r="L27" s="43">
        <f>6.42+132.5+1487.65+1487.65+1.2+34.8+653.78+3199.6+31.35+74.2</f>
        <v>7109.1500000000005</v>
      </c>
      <c r="M27" s="43">
        <f>418.24+1.28+287.6+135.11+44.7+3.37+276+55.99+70.5+27.6+99+30+85.4+2958+220</f>
        <v>4712.79</v>
      </c>
      <c r="N27" s="43"/>
      <c r="O27" s="43"/>
      <c r="P27" s="40"/>
      <c r="Q27" s="41">
        <f t="shared" si="2"/>
        <v>14607.670000000002</v>
      </c>
    </row>
    <row r="28" spans="2:17" ht="15" customHeight="1" x14ac:dyDescent="0.45">
      <c r="B28" s="21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0"/>
      <c r="Q28" s="41">
        <f t="shared" si="2"/>
        <v>0</v>
      </c>
    </row>
    <row r="29" spans="2:17" x14ac:dyDescent="0.45">
      <c r="B29" s="46" t="s">
        <v>26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0"/>
      <c r="Q29" s="41">
        <f t="shared" si="2"/>
        <v>0</v>
      </c>
    </row>
    <row r="30" spans="2:17" x14ac:dyDescent="0.45">
      <c r="B30" s="46" t="s">
        <v>27</v>
      </c>
      <c r="C30" s="43"/>
      <c r="D30" s="43"/>
      <c r="E30" s="43"/>
      <c r="F30" s="43"/>
      <c r="G30" s="43"/>
      <c r="H30" s="43">
        <v>28803</v>
      </c>
      <c r="I30" s="43"/>
      <c r="J30" s="43"/>
      <c r="K30" s="43">
        <v>150651</v>
      </c>
      <c r="L30" s="43">
        <f>30000+148472</f>
        <v>178472</v>
      </c>
      <c r="M30" s="43">
        <f>100228</f>
        <v>100228</v>
      </c>
      <c r="N30" s="43"/>
      <c r="O30" s="43"/>
      <c r="P30" s="40"/>
      <c r="Q30" s="41">
        <f t="shared" si="2"/>
        <v>458154</v>
      </c>
    </row>
    <row r="31" spans="2:17" x14ac:dyDescent="0.45">
      <c r="B31" s="46" t="s">
        <v>28</v>
      </c>
      <c r="C31" s="43"/>
      <c r="D31" s="43"/>
      <c r="E31" s="43">
        <f>3900+6600</f>
        <v>10500</v>
      </c>
      <c r="F31" s="43">
        <f>2352+8550+13728+6600+12000</f>
        <v>43230</v>
      </c>
      <c r="G31" s="43">
        <f>9675+13728+12000+840+6600+1629.6+3500+6116.2</f>
        <v>54088.799999999996</v>
      </c>
      <c r="H31" s="43">
        <f>12000+8550+4656+1260+5400+14300+1080+12480+5350.94+10800+840+6600+5354.4</f>
        <v>88671.34</v>
      </c>
      <c r="I31" s="43">
        <f>840+5400+4306.8+1080</f>
        <v>11626.8</v>
      </c>
      <c r="J31" s="43">
        <f>2505+4050+4423.2+840+5700</f>
        <v>17518.2</v>
      </c>
      <c r="K31" s="43">
        <f>3600+11477.4</f>
        <v>15077.4</v>
      </c>
      <c r="L31" s="43">
        <f>3841.2+840+6000+1620+4800+3492+840+5850</f>
        <v>27283.200000000001</v>
      </c>
      <c r="M31" s="43">
        <f>4772.4+4320+840+3750+4545</f>
        <v>18227.400000000001</v>
      </c>
      <c r="N31" s="43"/>
      <c r="O31" s="43"/>
      <c r="P31" s="40"/>
      <c r="Q31" s="41">
        <f t="shared" si="2"/>
        <v>286223.14</v>
      </c>
    </row>
    <row r="32" spans="2:17" x14ac:dyDescent="0.45">
      <c r="B32" s="21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0"/>
      <c r="Q32" s="41">
        <f t="shared" si="2"/>
        <v>0</v>
      </c>
    </row>
    <row r="33" spans="2:17" x14ac:dyDescent="0.45">
      <c r="B33" s="47" t="s">
        <v>29</v>
      </c>
      <c r="C33" s="43"/>
      <c r="D33" s="43">
        <f>5393.45+6963.42+3603.05+3845.76+4748.71+4800.83+4588.27+2682.2+4198.99+5330.69+4953.25+4540.36+5793.2+5737.17+5210.66+4871.86+5603.31+5622.89+5371.28+4740.09+4975.84+5889.62+4938.15+6612.4+4856.96</f>
        <v>125872.40999999999</v>
      </c>
      <c r="E33" s="43">
        <f>4740.09+4856.96+5889.62+4938.15+4975.84+6612.4+5371.28+3973.24+3724.6+6025.8+4996.03+2281.82+5393.45+3845.76+5055.27+4800.83+5737.17+5622.89+4198.99+4953.25+4544.7+5603.31+5330.69+5793.2+6962.33+5093.08+4841.69+4507.46+262.04+527.68+5217.98</f>
        <v>146677.6</v>
      </c>
      <c r="F33" s="43">
        <f>6962.33+5393.45+3973.24+3845.76+5093.08+5055.27+6025.8+4740.09+4800.83+4841.69+4856.96+5889.62+5622.89+4996.03+4938.15+5217.98+4198.99+6612.4+4953.25+4507.46+5371.28+5603.31+5330.69+5793.2+2535.12+4727.68+6072.82+3883.63+4592.51+4598.44+5457.37+5680.68+4846.9+1931.4+6227.2</f>
        <v>175177.5</v>
      </c>
      <c r="G33" s="43">
        <f>5393.45+4727.68+5093.08+5055.27+4800.83+4740.09+4841.69+4856.96+5889.62+5622.89+4996.03+4938.15+4198.99+6612.4+4953.25+4507.46+4598.44+5457.37+5371.28+5603.31+5330.69+5680.68+4846.9+1931.4+5793.2+2425.58+5962.33+5503.4+4529.47+2739.21+3890.93+5681.23+5524.33+5488.5+5307.33+7098.73</f>
        <v>179992.14999999997</v>
      </c>
      <c r="H33" s="43">
        <f>4800.83+4841.69+4856.96+5889.62+5622.89+4996.03+4938.15+5524.33+5488.5+7098.73+4198.99+4953.25+5307.33+4507.46+5457.37+5603.31+4846.9+5793.2+5393.45+4727.68+3890.93+5093.08+5681.23+4740.09+5555.27+3974.59+5301.98+4897.87+5680.68+1931.4+4598.44+5330.69+5960.71+5503.4+4529.47</f>
        <v>177516.49999999997</v>
      </c>
      <c r="I33" s="43">
        <f>5889.28+139.22+9222.1+5503.4+5393.45+4529.47+4727.68+5093.08+5555.27+5681.23+4740.09+4800.83+4841.69+4856.96+4996.03+4938.15+5524.33+4198.99+5307.33+4953.25+4507.46+4598.44+5457.37+5330.69+5680.68+4846.9+5921.5+5836.46+6167.99+7098.73+4799.57+4466.41+3801.71+1983.43+5783.4+4750.97+2865.45</f>
        <v>184788.99000000002</v>
      </c>
      <c r="J33" s="43">
        <f>151.94+5268.84+2372.9+7578.02+5581.61+4545.24+5119.8+5465.35+5064.82+4802.84+5737.77+5681.23+4689.38+3123.25+5173.91+5401.22+2376.16+5921.5+4529.47+4727.68+5555.27+4841.69+6167.99+4198.99+5307.33+4953.25+4507.46+5457.37+5680.68+4846.9+5364.26+1983.43+5066.59+5520.07+4569.12+4705.37+4796.95+5755.76+4994.98+5466.95+5058.16+4580.12+5241.99</f>
        <v>207933.61000000004</v>
      </c>
      <c r="K33" s="43">
        <f>4380.59+1701.39+5334.64+4725.8+10557.92+4443.17+4821.58+4745.53+5268.03+4687.14+4772.51+4545.24+4808.36+6951.1+5099.78+5398.95+5466.85+7087.81+3782.84+5303.33+4953.25+4502.05+4473.68+5064.82+4328.08+5191.59+4846.9+5676.56+5681.23+5921.5+5503.4+3656.54+4365.41+6167.99+4378.53+5177.96+5745.86+5680.68+1983.43+5468.8+4421.18+826.44</f>
        <v>207898.43999999997</v>
      </c>
      <c r="L33" s="43">
        <f>1193.14+103.86+724.53+256.21+5921.5+5334.64+4745.53+4772.51+4687.14+4545.24+4808.36+5099.78+5398.95+5466.85+4421.18+4953.25+4473.68+5352.23+5064.82+5745.86+1983.43+5681.23+5439.57+5413.08+4839.15+2877.61+5336.18+4585.47+5036.8+4651.12+4600.73+4812.22+5755.76+6210.89+5987.81+4868.88+5167.18+4403.66+5515.42+5555.27+6951.1+2046.56</f>
        <v>190788.38</v>
      </c>
      <c r="M33" s="43">
        <f>4745.34+5537.56+3131.4+6290.54+944.91+5202.93+5398.95+6210.89+5167.18+4421.18+4403.66+5745.86+5537.56+5681.23+4687.14+5036.8+4978.21+4669.06+1941.61+4511.82+4727.82+4615.81+5719.07+5005.21+5935.28+4831.27+6953.68+3684.7+5654.93+5044.22+5229.73+7061.59+5177.96+5824.21+5786.71+5615.66+5182.04+5118.04+5935.32+4731.26+4199.07+4528.98+4243.51+5569.61</f>
        <v>220619.51000000007</v>
      </c>
      <c r="N33" s="43"/>
      <c r="O33" s="43"/>
      <c r="P33" s="40"/>
      <c r="Q33" s="41">
        <f t="shared" si="2"/>
        <v>1817265.09</v>
      </c>
    </row>
    <row r="34" spans="2:17" x14ac:dyDescent="0.45">
      <c r="B34" s="48" t="s">
        <v>30</v>
      </c>
      <c r="C34" s="43"/>
      <c r="D34" s="43"/>
      <c r="E34" s="43">
        <f>474.88+480.49+592.03+171.86+398.2+981.2+534.82+358.4+457.84+771.66+193.56</f>
        <v>5414.9400000000005</v>
      </c>
      <c r="F34" s="43">
        <f>597+440.8+500.52+118.98+248.14+568.6+313+118.98+384+892+301.71+586.2+649.54+358.4+338.56+720+671.55+491.92+553.17+279.33+308.82+291.7+592.03+892+212.2+158.64+384+372.9+610.51+710.6+345.48+474.88</f>
        <v>14486.16</v>
      </c>
      <c r="G34" s="43"/>
      <c r="H34" s="43">
        <f>597.42+441.09+328.14+247.8+219.95+544.31+257.08+893+324.58+153.34+384.24+324.91+711.12+331.2+369.28+441.09+473.32+217.3+259.94+470.26+289.12+893+312.76+167.28+294.48+287.43+518.13+358.4+423.14+597.42+261.5</f>
        <v>12392.029999999999</v>
      </c>
      <c r="I34" s="43">
        <f>675.96+236+494.94+390.36+643.05+516.06+1034+300.94+181.22+646.79+344.8+476.99</f>
        <v>5941.1100000000006</v>
      </c>
      <c r="J34" s="43">
        <f>264.22+319.91+506.98+374.89+623.6+244.5+279.93+459.04+154.53+299.92+569+364.77+940+277.3+421.3+167.28+471.28+337.41+389.48+290.4+279.52+261.57</f>
        <v>8296.83</v>
      </c>
      <c r="K34" s="43"/>
      <c r="L34" s="43">
        <f>440.34+227.5+519.83+454.6+243.62+318.48+81.81+239.94+643.05+403.45+402.59+376+300.94+571.24+83.64+489.84+324.91+344.8+297.47+644+518.88+479.85+596.44+354.9+476.99+190.89+199.96+569+242.8+497.15+987+348.22+139.4+549.82+489.84+287.43+320.64+385.6+270.54+97.95</f>
        <v>15411.349999999999</v>
      </c>
      <c r="M34" s="43"/>
      <c r="N34" s="43"/>
      <c r="O34" s="43"/>
      <c r="P34" s="40"/>
      <c r="Q34" s="41">
        <f t="shared" si="2"/>
        <v>61942.42</v>
      </c>
    </row>
    <row r="35" spans="2:17" x14ac:dyDescent="0.45">
      <c r="B35" s="48" t="s">
        <v>31</v>
      </c>
      <c r="C35" s="43"/>
      <c r="D35" s="43"/>
      <c r="E35" s="43">
        <v>6000</v>
      </c>
      <c r="F35" s="43"/>
      <c r="G35" s="43"/>
      <c r="H35" s="43"/>
      <c r="I35" s="43"/>
      <c r="J35" s="43"/>
      <c r="K35" s="43">
        <v>3500</v>
      </c>
      <c r="L35" s="43">
        <v>4000</v>
      </c>
      <c r="M35" s="43">
        <f>6000</f>
        <v>6000</v>
      </c>
      <c r="N35" s="43"/>
      <c r="O35" s="43"/>
      <c r="P35" s="40"/>
      <c r="Q35" s="41">
        <f t="shared" si="2"/>
        <v>19500</v>
      </c>
    </row>
    <row r="36" spans="2:17" x14ac:dyDescent="0.45">
      <c r="B36" s="48" t="s">
        <v>32</v>
      </c>
      <c r="C36" s="43"/>
      <c r="D36" s="43">
        <f>781.25+253.06+1528+1199.99+39.98+1479+25</f>
        <v>5306.2800000000007</v>
      </c>
      <c r="E36" s="43">
        <f>1609+1609+1990</f>
        <v>5208</v>
      </c>
      <c r="F36" s="43">
        <f>118.8+15+55.2+1179+583.2+31.83</f>
        <v>1983.03</v>
      </c>
      <c r="G36" s="43">
        <f>104.6+3945.73</f>
        <v>4050.33</v>
      </c>
      <c r="H36" s="43">
        <f>20+20</f>
        <v>40</v>
      </c>
      <c r="I36" s="43">
        <f>599+1139+159.99+1479+449</f>
        <v>3825.99</v>
      </c>
      <c r="J36" s="43">
        <f>202.9+20.99+129.99</f>
        <v>353.88</v>
      </c>
      <c r="K36" s="43">
        <f>99.51+899+2799</f>
        <v>3797.51</v>
      </c>
      <c r="L36" s="43">
        <f>124.88+4224+25+104.71+9.07</f>
        <v>4487.66</v>
      </c>
      <c r="M36" s="43">
        <f>119.98+1255.99+1479.2+1479</f>
        <v>4334.17</v>
      </c>
      <c r="N36" s="43"/>
      <c r="O36" s="43"/>
      <c r="P36" s="40"/>
      <c r="Q36" s="41">
        <f t="shared" si="2"/>
        <v>33386.85</v>
      </c>
    </row>
    <row r="37" spans="2:17" x14ac:dyDescent="0.45">
      <c r="B37" s="48" t="s">
        <v>33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0"/>
      <c r="Q37" s="41">
        <f t="shared" si="2"/>
        <v>0</v>
      </c>
    </row>
    <row r="38" spans="2:17" x14ac:dyDescent="0.45">
      <c r="B38" s="48" t="s">
        <v>34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0"/>
      <c r="Q38" s="41">
        <f t="shared" si="2"/>
        <v>0</v>
      </c>
    </row>
    <row r="39" spans="2:17" x14ac:dyDescent="0.45">
      <c r="B39" s="49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0"/>
      <c r="Q39" s="41">
        <f t="shared" si="2"/>
        <v>0</v>
      </c>
    </row>
    <row r="40" spans="2:17" x14ac:dyDescent="0.45">
      <c r="B40" s="50" t="s">
        <v>35</v>
      </c>
      <c r="C40" s="43"/>
      <c r="D40" s="43">
        <v>28761</v>
      </c>
      <c r="E40" s="43">
        <v>54110</v>
      </c>
      <c r="F40" s="43">
        <v>63309</v>
      </c>
      <c r="G40" s="43">
        <v>74800</v>
      </c>
      <c r="H40" s="43">
        <v>78001</v>
      </c>
      <c r="I40" s="43">
        <f>76370+106</f>
        <v>76476</v>
      </c>
      <c r="J40" s="43">
        <v>79639</v>
      </c>
      <c r="K40" s="43">
        <v>86808</v>
      </c>
      <c r="L40" s="43">
        <f>86+87878</f>
        <v>87964</v>
      </c>
      <c r="M40" s="43">
        <f>91105+13</f>
        <v>91118</v>
      </c>
      <c r="N40" s="43"/>
      <c r="O40" s="43"/>
      <c r="P40" s="40"/>
      <c r="Q40" s="41">
        <f t="shared" si="2"/>
        <v>720986</v>
      </c>
    </row>
    <row r="41" spans="2:17" x14ac:dyDescent="0.45">
      <c r="B41" s="51" t="s">
        <v>36</v>
      </c>
      <c r="C41" s="43"/>
      <c r="D41" s="43">
        <f>1277.47+6157.76+11138.54</f>
        <v>18573.77</v>
      </c>
      <c r="E41" s="43"/>
      <c r="F41" s="43"/>
      <c r="G41" s="43">
        <f>23275.27+19960.77+27554.87</f>
        <v>70790.91</v>
      </c>
      <c r="H41" s="43">
        <v>28854.48</v>
      </c>
      <c r="I41" s="43">
        <v>28890.51</v>
      </c>
      <c r="J41" s="43">
        <v>30338.22</v>
      </c>
      <c r="K41" s="43">
        <v>33083.82</v>
      </c>
      <c r="L41" s="43">
        <v>33376.5</v>
      </c>
      <c r="M41" s="43">
        <v>34519.120000000003</v>
      </c>
      <c r="N41" s="43"/>
      <c r="O41" s="43"/>
      <c r="P41" s="40"/>
      <c r="Q41" s="41">
        <f t="shared" si="2"/>
        <v>278427.33</v>
      </c>
    </row>
    <row r="42" spans="2:17" x14ac:dyDescent="0.45">
      <c r="B42" s="51" t="s">
        <v>37</v>
      </c>
      <c r="C42" s="43"/>
      <c r="D42" s="43"/>
      <c r="E42" s="43">
        <v>1568.6</v>
      </c>
      <c r="F42" s="43"/>
      <c r="G42" s="43"/>
      <c r="H42" s="43">
        <v>6634.62</v>
      </c>
      <c r="I42" s="43"/>
      <c r="J42" s="43"/>
      <c r="K42" s="43">
        <v>8007.3</v>
      </c>
      <c r="L42" s="43"/>
      <c r="M42" s="43">
        <f>9303.72</f>
        <v>9303.7199999999993</v>
      </c>
      <c r="N42" s="43"/>
      <c r="O42" s="43"/>
      <c r="P42" s="40"/>
      <c r="Q42" s="41">
        <f t="shared" si="2"/>
        <v>25514.239999999998</v>
      </c>
    </row>
    <row r="43" spans="2:17" x14ac:dyDescent="0.45">
      <c r="B43" s="51" t="s">
        <v>38</v>
      </c>
      <c r="C43" s="43"/>
      <c r="D43" s="43">
        <v>1597.65</v>
      </c>
      <c r="E43" s="43"/>
      <c r="F43" s="43"/>
      <c r="G43" s="43"/>
      <c r="H43" s="43">
        <v>6466.56</v>
      </c>
      <c r="I43" s="43"/>
      <c r="J43" s="43"/>
      <c r="K43" s="43">
        <v>7969.21</v>
      </c>
      <c r="L43" s="43"/>
      <c r="M43" s="43">
        <f>8970.24</f>
        <v>8970.24</v>
      </c>
      <c r="N43" s="43"/>
      <c r="O43" s="43"/>
      <c r="P43" s="40"/>
      <c r="Q43" s="41">
        <f t="shared" si="2"/>
        <v>25003.660000000003</v>
      </c>
    </row>
    <row r="44" spans="2:17" ht="14.65" thickBot="1" x14ac:dyDescent="0.5">
      <c r="B44" s="51" t="s">
        <v>39</v>
      </c>
      <c r="C44" s="43"/>
      <c r="D44" s="43">
        <v>4576</v>
      </c>
      <c r="E44" s="43">
        <v>8270</v>
      </c>
      <c r="F44" s="43">
        <v>9325</v>
      </c>
      <c r="G44" s="43">
        <f>9753</f>
        <v>9753</v>
      </c>
      <c r="H44" s="43">
        <v>11236</v>
      </c>
      <c r="I44" s="43">
        <v>12193</v>
      </c>
      <c r="J44" s="43">
        <v>13276</v>
      </c>
      <c r="K44" s="43">
        <f>15847</f>
        <v>15847</v>
      </c>
      <c r="L44" s="43">
        <f>16584</f>
        <v>16584</v>
      </c>
      <c r="M44" s="43">
        <f>16198</f>
        <v>16198</v>
      </c>
      <c r="N44" s="43"/>
      <c r="O44" s="43"/>
      <c r="P44" s="40"/>
      <c r="Q44" s="41">
        <f t="shared" si="2"/>
        <v>117258</v>
      </c>
    </row>
    <row r="45" spans="2:17" ht="16.149999999999999" thickBot="1" x14ac:dyDescent="0.55000000000000004">
      <c r="B45" s="52" t="s">
        <v>40</v>
      </c>
      <c r="C45" s="53">
        <f>+SUM(C17:C44)</f>
        <v>0</v>
      </c>
      <c r="D45" s="53">
        <f t="shared" ref="D45:O45" si="3">+SUM(D17:D44)</f>
        <v>185121.94999999998</v>
      </c>
      <c r="E45" s="53">
        <f t="shared" si="3"/>
        <v>245255.43000000002</v>
      </c>
      <c r="F45" s="53">
        <f t="shared" si="3"/>
        <v>319430.93</v>
      </c>
      <c r="G45" s="53">
        <f t="shared" si="3"/>
        <v>393571.40999999992</v>
      </c>
      <c r="H45" s="53">
        <f t="shared" si="3"/>
        <v>441672.98999999993</v>
      </c>
      <c r="I45" s="53">
        <f t="shared" si="3"/>
        <v>353345.82</v>
      </c>
      <c r="J45" s="53">
        <f t="shared" si="3"/>
        <v>373493.19000000006</v>
      </c>
      <c r="K45" s="53">
        <f t="shared" si="3"/>
        <v>532790.06000000006</v>
      </c>
      <c r="L45" s="53">
        <f t="shared" si="3"/>
        <v>599378.73</v>
      </c>
      <c r="M45" s="53">
        <f t="shared" si="3"/>
        <v>515998.55</v>
      </c>
      <c r="N45" s="53">
        <f t="shared" si="3"/>
        <v>0</v>
      </c>
      <c r="O45" s="53">
        <f t="shared" si="3"/>
        <v>0</v>
      </c>
      <c r="P45" s="54"/>
      <c r="Q45" s="55">
        <f>+SUM(C45:O45)</f>
        <v>3960059.06</v>
      </c>
    </row>
    <row r="46" spans="2:17" ht="14.65" thickBot="1" x14ac:dyDescent="0.5">
      <c r="B46" s="56"/>
      <c r="C46" s="57"/>
      <c r="D46" s="57"/>
      <c r="E46" s="57"/>
      <c r="F46" s="57"/>
      <c r="G46" s="57"/>
      <c r="H46" s="57"/>
      <c r="I46" s="57"/>
      <c r="J46" s="57"/>
      <c r="K46" s="57"/>
      <c r="M46" s="57"/>
      <c r="N46" s="57"/>
      <c r="P46" s="40"/>
    </row>
    <row r="47" spans="2:17" ht="15.75" x14ac:dyDescent="0.5">
      <c r="B47" s="63" t="s">
        <v>41</v>
      </c>
      <c r="C47" s="58">
        <f>C14-C45</f>
        <v>10503.67</v>
      </c>
      <c r="D47" s="58">
        <f t="shared" ref="D47:O47" si="4">D14-D45</f>
        <v>4121.2500000000291</v>
      </c>
      <c r="E47" s="58">
        <f t="shared" si="4"/>
        <v>38954.569999999978</v>
      </c>
      <c r="F47" s="58">
        <f t="shared" si="4"/>
        <v>31915.869999999995</v>
      </c>
      <c r="G47" s="58">
        <f t="shared" si="4"/>
        <v>-43503.889999999898</v>
      </c>
      <c r="H47" s="58">
        <f t="shared" si="4"/>
        <v>43632.210000000079</v>
      </c>
      <c r="I47" s="58">
        <f t="shared" si="4"/>
        <v>52779</v>
      </c>
      <c r="J47" s="58">
        <f t="shared" si="4"/>
        <v>93600.809999999939</v>
      </c>
      <c r="K47" s="58">
        <f t="shared" si="4"/>
        <v>-13798.460000000079</v>
      </c>
      <c r="L47" s="58">
        <f t="shared" si="4"/>
        <v>-129449.21999999997</v>
      </c>
      <c r="M47" s="58">
        <f t="shared" si="4"/>
        <v>242.96000000002095</v>
      </c>
      <c r="N47" s="58">
        <f t="shared" si="4"/>
        <v>0</v>
      </c>
      <c r="O47" s="58">
        <f t="shared" si="4"/>
        <v>0</v>
      </c>
      <c r="P47" s="59"/>
      <c r="Q47" s="60">
        <f>Q14-Q45</f>
        <v>88998.770000000019</v>
      </c>
    </row>
    <row r="48" spans="2:17" ht="16.149999999999999" thickBot="1" x14ac:dyDescent="0.55000000000000004">
      <c r="B48" s="64" t="s">
        <v>42</v>
      </c>
      <c r="C48" s="58">
        <f>C47</f>
        <v>10503.67</v>
      </c>
      <c r="D48" s="58">
        <f>C48+D47</f>
        <v>14624.920000000029</v>
      </c>
      <c r="E48" s="58">
        <f t="shared" ref="E48:O48" si="5">D48+E47</f>
        <v>53579.490000000005</v>
      </c>
      <c r="F48" s="58">
        <f t="shared" si="5"/>
        <v>85495.360000000001</v>
      </c>
      <c r="G48" s="58">
        <f t="shared" si="5"/>
        <v>41991.470000000103</v>
      </c>
      <c r="H48" s="58">
        <f t="shared" si="5"/>
        <v>85623.680000000182</v>
      </c>
      <c r="I48" s="58">
        <f t="shared" si="5"/>
        <v>138402.68000000017</v>
      </c>
      <c r="J48" s="58">
        <f t="shared" si="5"/>
        <v>232003.49000000011</v>
      </c>
      <c r="K48" s="58">
        <f t="shared" si="5"/>
        <v>218205.03000000003</v>
      </c>
      <c r="L48" s="58">
        <f t="shared" si="5"/>
        <v>88755.810000000056</v>
      </c>
      <c r="M48" s="58">
        <f t="shared" si="5"/>
        <v>88998.770000000077</v>
      </c>
      <c r="N48" s="58">
        <f t="shared" si="5"/>
        <v>88998.770000000077</v>
      </c>
      <c r="O48" s="58">
        <f t="shared" si="5"/>
        <v>88998.770000000077</v>
      </c>
      <c r="P48" s="59"/>
      <c r="Q48" s="60"/>
    </row>
  </sheetData>
  <mergeCells count="1">
    <mergeCell ref="B2:C3"/>
  </mergeCells>
  <conditionalFormatting sqref="C47:Q48">
    <cfRule type="cellIs" dxfId="7" priority="1" operator="lessThan">
      <formula>0</formula>
    </cfRule>
    <cfRule type="cellIs" dxfId="6" priority="2" operator="greaterThan">
      <formula>0</formula>
    </cfRule>
  </conditionalFormatting>
  <conditionalFormatting sqref="Q45">
    <cfRule type="cellIs" dxfId="5" priority="3" operator="greaterThan">
      <formula>0</formula>
    </cfRule>
    <cfRule type="cellIs" dxfId="4" priority="4" operator="lessThan">
      <formula>0</formula>
    </cfRule>
  </conditionalFormatting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81677-3A9E-4627-892C-F0D1C2D3085B}">
  <dimension ref="B1:Q48"/>
  <sheetViews>
    <sheetView tabSelected="1" topLeftCell="E1" workbookViewId="0">
      <selection activeCell="N36" sqref="N36"/>
    </sheetView>
  </sheetViews>
  <sheetFormatPr baseColWidth="10" defaultColWidth="9.1328125" defaultRowHeight="14.25" x14ac:dyDescent="0.45"/>
  <cols>
    <col min="1" max="1" width="4.1328125" style="3" customWidth="1"/>
    <col min="2" max="2" width="37.1328125" style="3" bestFit="1" customWidth="1"/>
    <col min="3" max="3" width="16.53125" style="2" customWidth="1"/>
    <col min="4" max="4" width="16.46484375" style="2" customWidth="1"/>
    <col min="5" max="9" width="16.53125" style="2" customWidth="1"/>
    <col min="10" max="11" width="16.46484375" style="2" bestFit="1" customWidth="1"/>
    <col min="12" max="14" width="15.46484375" style="2" bestFit="1" customWidth="1"/>
    <col min="15" max="15" width="15.19921875" style="2" bestFit="1" customWidth="1"/>
    <col min="16" max="16" width="0.33203125" customWidth="1"/>
    <col min="17" max="17" width="15.46484375" style="2" bestFit="1" customWidth="1"/>
    <col min="18" max="16384" width="9.1328125" style="3"/>
  </cols>
  <sheetData>
    <row r="1" spans="2:17" x14ac:dyDescent="0.45">
      <c r="B1" s="71" t="s">
        <v>62</v>
      </c>
    </row>
    <row r="2" spans="2:17" ht="18" x14ac:dyDescent="0.45">
      <c r="B2" s="79" t="s">
        <v>43</v>
      </c>
      <c r="C2" s="79"/>
      <c r="D2" s="1">
        <f t="shared" ref="D2:O2" si="0">+D48</f>
        <v>14624.920000000029</v>
      </c>
      <c r="E2" s="1">
        <f t="shared" si="0"/>
        <v>53579.490000000005</v>
      </c>
      <c r="F2" s="1">
        <f t="shared" si="0"/>
        <v>85495.360000000001</v>
      </c>
      <c r="G2" s="1">
        <f t="shared" si="0"/>
        <v>41991.470000000103</v>
      </c>
      <c r="H2" s="1">
        <f t="shared" si="0"/>
        <v>85623.680000000182</v>
      </c>
      <c r="I2" s="1">
        <f t="shared" si="0"/>
        <v>138402.68000000017</v>
      </c>
      <c r="J2" s="1">
        <f t="shared" si="0"/>
        <v>232003.49000000011</v>
      </c>
      <c r="K2" s="1">
        <f t="shared" si="0"/>
        <v>218205.03000000003</v>
      </c>
      <c r="L2" s="1">
        <f t="shared" si="0"/>
        <v>88755.810000000056</v>
      </c>
      <c r="M2" s="1">
        <f t="shared" si="0"/>
        <v>128435.18000000017</v>
      </c>
      <c r="N2" s="1">
        <f t="shared" si="0"/>
        <v>504759.57000000018</v>
      </c>
      <c r="O2" s="1">
        <f t="shared" si="0"/>
        <v>504759.57000000018</v>
      </c>
      <c r="P2" s="2">
        <f>P48</f>
        <v>0</v>
      </c>
    </row>
    <row r="3" spans="2:17" ht="28.9" thickBot="1" x14ac:dyDescent="0.5">
      <c r="B3" s="80"/>
      <c r="C3" s="80"/>
      <c r="D3" s="61"/>
      <c r="E3" s="61"/>
      <c r="F3" s="61"/>
      <c r="G3" s="61"/>
      <c r="H3" s="61"/>
      <c r="I3" s="61"/>
    </row>
    <row r="4" spans="2:17" s="10" customFormat="1" ht="16.149999999999999" thickBot="1" x14ac:dyDescent="0.5">
      <c r="B4" s="4" t="s">
        <v>0</v>
      </c>
      <c r="C4" s="5" t="s">
        <v>1</v>
      </c>
      <c r="D4" s="5" t="s">
        <v>44</v>
      </c>
      <c r="E4" s="5" t="s">
        <v>45</v>
      </c>
      <c r="F4" s="5" t="s">
        <v>46</v>
      </c>
      <c r="G4" s="5" t="s">
        <v>47</v>
      </c>
      <c r="H4" s="5" t="s">
        <v>48</v>
      </c>
      <c r="I4" s="5" t="s">
        <v>49</v>
      </c>
      <c r="J4" s="6" t="s">
        <v>50</v>
      </c>
      <c r="K4" s="6" t="s">
        <v>51</v>
      </c>
      <c r="L4" s="7" t="s">
        <v>52</v>
      </c>
      <c r="M4" s="6" t="s">
        <v>2</v>
      </c>
      <c r="N4" s="6" t="s">
        <v>3</v>
      </c>
      <c r="O4" s="7" t="s">
        <v>4</v>
      </c>
      <c r="P4" s="8"/>
      <c r="Q4" s="9" t="s">
        <v>5</v>
      </c>
    </row>
    <row r="5" spans="2:17" ht="16.149999999999999" thickBot="1" x14ac:dyDescent="0.55000000000000004">
      <c r="B5" s="11" t="s">
        <v>6</v>
      </c>
      <c r="C5" s="12"/>
      <c r="D5" s="12"/>
      <c r="E5" s="12"/>
      <c r="F5" s="12"/>
      <c r="G5" s="12"/>
      <c r="H5" s="12"/>
      <c r="I5" s="12"/>
      <c r="J5" s="12"/>
      <c r="K5" s="12"/>
      <c r="L5" s="13"/>
      <c r="M5" s="12"/>
      <c r="N5" s="12"/>
      <c r="O5" s="13"/>
      <c r="P5" s="14"/>
      <c r="Q5" s="15"/>
    </row>
    <row r="6" spans="2:17" x14ac:dyDescent="0.45">
      <c r="B6" s="16" t="s">
        <v>7</v>
      </c>
      <c r="C6" s="17">
        <v>10503.67</v>
      </c>
      <c r="D6" s="17"/>
      <c r="E6" s="18"/>
      <c r="F6" s="17"/>
      <c r="G6" s="17"/>
      <c r="H6" s="18"/>
      <c r="I6" s="17"/>
      <c r="J6" s="17"/>
      <c r="K6" s="17"/>
      <c r="L6" s="18"/>
      <c r="M6" s="17"/>
      <c r="N6" s="17"/>
      <c r="O6" s="18"/>
      <c r="P6" s="19"/>
      <c r="Q6" s="20">
        <f>SUM(C6:O6)</f>
        <v>10503.67</v>
      </c>
    </row>
    <row r="7" spans="2:17" x14ac:dyDescent="0.45">
      <c r="B7" s="21" t="s">
        <v>8</v>
      </c>
      <c r="C7" s="22"/>
      <c r="D7" s="22"/>
      <c r="E7" s="23"/>
      <c r="F7" s="22"/>
      <c r="G7" s="22"/>
      <c r="H7" s="23"/>
      <c r="I7" s="22"/>
      <c r="J7" s="22"/>
      <c r="K7" s="22"/>
      <c r="L7" s="23"/>
      <c r="M7" s="22"/>
      <c r="N7" s="22"/>
      <c r="O7" s="23"/>
      <c r="P7" s="19"/>
      <c r="Q7" s="24">
        <f>SUM(C7:O7)</f>
        <v>0</v>
      </c>
    </row>
    <row r="8" spans="2:17" x14ac:dyDescent="0.45">
      <c r="B8" s="21" t="s">
        <v>9</v>
      </c>
      <c r="C8" s="22"/>
      <c r="D8" s="22">
        <v>50000</v>
      </c>
      <c r="E8" s="23">
        <v>50000</v>
      </c>
      <c r="F8" s="22"/>
      <c r="G8" s="22"/>
      <c r="H8" s="23"/>
      <c r="I8" s="22"/>
      <c r="J8" s="22"/>
      <c r="K8" s="22"/>
      <c r="L8" s="23"/>
      <c r="M8" s="22"/>
      <c r="N8" s="22"/>
      <c r="O8" s="23"/>
      <c r="P8" s="19"/>
      <c r="Q8" s="24">
        <f>SUM(C8:O8)</f>
        <v>100000</v>
      </c>
    </row>
    <row r="9" spans="2:17" ht="15" customHeight="1" x14ac:dyDescent="0.45">
      <c r="B9" s="25" t="s">
        <v>10</v>
      </c>
      <c r="C9" s="26"/>
      <c r="D9" s="26"/>
      <c r="E9" s="27"/>
      <c r="F9" s="26"/>
      <c r="G9" s="26"/>
      <c r="H9" s="27"/>
      <c r="I9" s="26"/>
      <c r="J9" s="26"/>
      <c r="K9" s="26"/>
      <c r="L9" s="27"/>
      <c r="M9" s="26"/>
      <c r="N9" s="26"/>
      <c r="O9" s="27"/>
      <c r="P9" s="19"/>
      <c r="Q9" s="28">
        <f>SUM(C9:O9)</f>
        <v>0</v>
      </c>
    </row>
    <row r="10" spans="2:17" ht="1.5" customHeight="1" x14ac:dyDescent="0.45">
      <c r="B10" s="29"/>
      <c r="C10" s="30"/>
      <c r="D10" s="30"/>
      <c r="E10" s="31"/>
      <c r="F10" s="30"/>
      <c r="G10" s="30"/>
      <c r="H10" s="31"/>
      <c r="I10" s="30"/>
      <c r="J10" s="30"/>
      <c r="K10" s="30"/>
      <c r="L10" s="31"/>
      <c r="M10" s="30"/>
      <c r="N10" s="30"/>
      <c r="O10" s="31"/>
      <c r="P10" s="19"/>
      <c r="Q10" s="32"/>
    </row>
    <row r="11" spans="2:17" x14ac:dyDescent="0.45">
      <c r="B11" s="16" t="s">
        <v>11</v>
      </c>
      <c r="C11" s="17"/>
      <c r="D11" s="17">
        <f>4345.2+3744+12642+14520+12672+13728+11760+13680+2160+10800+11832+8268+11040+8052</f>
        <v>139243.20000000001</v>
      </c>
      <c r="E11" s="18">
        <f>11760+15840+15048+13728+15552+6960+10944+12642+9900+11880+13464+14784+13200+12480+6600+2100+8052+12720+10716+15840</f>
        <v>234210</v>
      </c>
      <c r="F11" s="17">
        <f>12936+12144+14520+15312+11880+5280+12000+13728+15312+10752+12600+25176+840+14706+10836+21090+12240+14784+982.8+15600+11880+6624+12600+11280+11400+11040+1260+13920+6000+11232+1392</f>
        <v>351346.8</v>
      </c>
      <c r="G11" s="17">
        <f>10800+125.52+13860+12720+600+12852+15600+11880+6600+10656+11760+13920+12480+14040+6588+20766+11556+14400+11400+7224+14400+10080+10584+10800+14256+14400+23184+12972+12000+6900</f>
        <v>349403.52</v>
      </c>
      <c r="H11" s="18">
        <f>12420+10080+12600+6900+4752+16146+15840+11136+11040+12000+6600+15180+13200+11520+14352+12054+13338+14628+11832+14352+15312+11628+12348+1651.2+7080+17940+840+14766+8052+2232+11352+15456+12960+16560+14076+9000+15120+10800+1440+12000+6600+11592+5700+10830</f>
        <v>485305.2</v>
      </c>
      <c r="I11" s="17">
        <f>7740+14490+13224+10488+12000+11856+6400.02+12540+9720+5550+6588+12084+12636+12960+11856+8736+8352+13338+12960+12540+840+21576+13110+10800+12198+11628+13876.8+12768+10260+1080+12144+8280+3480+10800+8448+5400+5700+10830+7560+9288</f>
        <v>406124.82</v>
      </c>
      <c r="J11" s="17">
        <f>9744+11100+11970+5520+228+1632+6300+10260+11856+18240+14820+12084+6762+12000+12540+8580+9936+11400+15444+11544+12096+22212+11136+10200+12198+6954+840+12744+12768+11400+14820+11628+12960+10260+4320+11592+12540+11880+2160+6600+4950+15444+13200+10200+10032</f>
        <v>467094</v>
      </c>
      <c r="K11" s="17">
        <f>11832+10488+11340+8820+10890+14520+15312+12000+13728+4410+10836+9600+13356+14040+13260+1929.6+7488+12000+840+7320+12960+23952+13200+13440+17160+12036+14124+13158+11760+11400+13260+11880+9780+21027+11424+15480+10179+9384+11400+13692+11880+11088+11088</f>
        <v>508761.59999999998</v>
      </c>
      <c r="L11" s="18">
        <f>13860+4644+6399.51+14400+12480+7020+9384+10440+13200+12480+12000+12987+11172+4500+12720+5610+12348+10200+5616+12480+12840+840+7137+20328+12240+9360+9000+11700+7392+5400+13680+10620+13200+5814+12960+4968+10200+12636+13608+7020+14400+6192+10800+8064+1080+6150+4752+13608</f>
        <v>469929.51</v>
      </c>
      <c r="M11" s="17">
        <f>12600+11592+13920+7024.88+10560+3150+9900+12000+13728+12348+14520+2160+9000+2880+13728+14742+15648+16308+12600+14256+840+4575+11448+17160+8346+1536+9744+13920+12036+2496+14784+6404.71+10752+7020+2520+13650+9792+11592+1980+6240+15840+16380+12600+1080+14616+11880+13608+9936+12474+15120+20538+10530+11617.17</f>
        <v>555719.76000000013</v>
      </c>
      <c r="N11" s="17">
        <v>572947.1</v>
      </c>
      <c r="O11" s="18"/>
      <c r="P11" s="19"/>
      <c r="Q11" s="20">
        <f>SUM(C11:O11)</f>
        <v>4540085.5100000007</v>
      </c>
    </row>
    <row r="12" spans="2:17" x14ac:dyDescent="0.45">
      <c r="B12" s="16" t="s">
        <v>12</v>
      </c>
      <c r="C12" s="17"/>
      <c r="D12" s="17"/>
      <c r="E12" s="18"/>
      <c r="F12" s="17"/>
      <c r="G12" s="17">
        <v>664</v>
      </c>
      <c r="H12" s="18"/>
      <c r="I12" s="17"/>
      <c r="J12" s="17"/>
      <c r="K12" s="17">
        <v>10230</v>
      </c>
      <c r="L12" s="18"/>
      <c r="M12" s="17"/>
      <c r="N12" s="17"/>
      <c r="O12" s="18"/>
      <c r="P12" s="19"/>
      <c r="Q12" s="20">
        <f>SUM(C12:O12)</f>
        <v>10894</v>
      </c>
    </row>
    <row r="13" spans="2:17" ht="14.65" thickBot="1" x14ac:dyDescent="0.5">
      <c r="B13" s="21" t="s">
        <v>13</v>
      </c>
      <c r="C13" s="22"/>
      <c r="D13" s="22"/>
      <c r="E13" s="23"/>
      <c r="F13" s="22"/>
      <c r="G13" s="22"/>
      <c r="H13" s="23"/>
      <c r="I13" s="22"/>
      <c r="J13" s="22"/>
      <c r="K13" s="22"/>
      <c r="L13" s="23"/>
      <c r="M13" s="22"/>
      <c r="N13" s="22"/>
      <c r="O13" s="23"/>
      <c r="P13" s="19"/>
      <c r="Q13" s="24">
        <f>SUM(C13:O13)</f>
        <v>0</v>
      </c>
    </row>
    <row r="14" spans="2:17" s="10" customFormat="1" ht="16.149999999999999" thickBot="1" x14ac:dyDescent="0.5">
      <c r="B14" s="33" t="s">
        <v>14</v>
      </c>
      <c r="C14" s="34">
        <f>SUM(C6:C13)</f>
        <v>10503.67</v>
      </c>
      <c r="D14" s="34">
        <f t="shared" ref="D14:O14" si="1">SUM(D6:D13)</f>
        <v>189243.2</v>
      </c>
      <c r="E14" s="34">
        <f t="shared" si="1"/>
        <v>284210</v>
      </c>
      <c r="F14" s="34">
        <f t="shared" si="1"/>
        <v>351346.8</v>
      </c>
      <c r="G14" s="34">
        <f t="shared" si="1"/>
        <v>350067.52</v>
      </c>
      <c r="H14" s="34">
        <f t="shared" si="1"/>
        <v>485305.2</v>
      </c>
      <c r="I14" s="34">
        <f t="shared" si="1"/>
        <v>406124.82</v>
      </c>
      <c r="J14" s="34">
        <f t="shared" si="1"/>
        <v>467094</v>
      </c>
      <c r="K14" s="34">
        <f t="shared" si="1"/>
        <v>518991.6</v>
      </c>
      <c r="L14" s="34">
        <f t="shared" si="1"/>
        <v>469929.51</v>
      </c>
      <c r="M14" s="34">
        <f t="shared" si="1"/>
        <v>555719.76000000013</v>
      </c>
      <c r="N14" s="34">
        <f t="shared" si="1"/>
        <v>572947.1</v>
      </c>
      <c r="O14" s="34">
        <f t="shared" si="1"/>
        <v>0</v>
      </c>
      <c r="P14" s="35"/>
      <c r="Q14" s="36">
        <f>SUM(C14:O14)</f>
        <v>4661483.1800000006</v>
      </c>
    </row>
    <row r="15" spans="2:17" ht="14.65" thickBot="1" x14ac:dyDescent="0.5"/>
    <row r="16" spans="2:17" ht="16.149999999999999" thickBot="1" x14ac:dyDescent="0.55000000000000004">
      <c r="B16" s="37" t="s">
        <v>15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62"/>
    </row>
    <row r="17" spans="2:17" x14ac:dyDescent="0.45">
      <c r="B17" s="39" t="s">
        <v>16</v>
      </c>
      <c r="C17" s="43"/>
      <c r="D17" s="43">
        <v>35.33</v>
      </c>
      <c r="E17" s="43"/>
      <c r="F17" s="43"/>
      <c r="G17" s="43">
        <v>1.1100000000000001</v>
      </c>
      <c r="H17" s="43">
        <f>968+0.3+0.3+0.3+0.3+(0.3*25)+0.3+0.3+0.3</f>
        <v>977.59999999999968</v>
      </c>
      <c r="I17" s="43">
        <f>6</f>
        <v>6</v>
      </c>
      <c r="J17" s="43">
        <f>7.2+2750+2+12.3</f>
        <v>2771.5</v>
      </c>
      <c r="K17" s="43">
        <f>7.2+2</f>
        <v>9.1999999999999993</v>
      </c>
      <c r="L17" s="43">
        <f>7.2+7320+2+0.3+0.3+0.3+0.3+0.3+0.3+0.3+0.3+0.3+0.3+0.3+0.3+0.3+0.3+0.3+0.3+0.3+0.3+0.3+0.3+0.3+0.3+0.3+0.3</f>
        <v>7336.4000000000042</v>
      </c>
      <c r="M17" s="43">
        <f>19.74+7.2+2+0.3+0.3+0.3+0.3+0.3+0.3+0.3+0.3+0.3+0.3+0.3+0.3+0.3+0.3+0.3+0.3+0.3+0.3+0.3+0.3+0.3+0.3+0.3+0.3+0.3+0.3+0.3+0.3+0.3+0.3+0.3+0.3+0.3+0.3+0.3+0.3+0.3+0.3+0.3+0.3+0.3+0.3+0.3</f>
        <v>41.839999999999911</v>
      </c>
      <c r="N17" s="43">
        <f>40.8+7.2</f>
        <v>48</v>
      </c>
      <c r="O17" s="43"/>
      <c r="P17" s="40"/>
      <c r="Q17" s="41">
        <f t="shared" ref="Q17:Q44" si="2">+SUM(C17:O17)</f>
        <v>11226.980000000003</v>
      </c>
    </row>
    <row r="18" spans="2:17" x14ac:dyDescent="0.45">
      <c r="B18" s="42" t="s">
        <v>17</v>
      </c>
      <c r="C18" s="43"/>
      <c r="D18" s="43">
        <v>38.54</v>
      </c>
      <c r="E18" s="43">
        <v>38.54</v>
      </c>
      <c r="F18" s="43">
        <v>38.54</v>
      </c>
      <c r="G18" s="43">
        <v>38.54</v>
      </c>
      <c r="H18" s="43">
        <v>38.54</v>
      </c>
      <c r="I18" s="43">
        <v>38.54</v>
      </c>
      <c r="J18" s="43">
        <v>38.54</v>
      </c>
      <c r="K18" s="43">
        <f>38.54</f>
        <v>38.54</v>
      </c>
      <c r="L18" s="43">
        <v>38.54</v>
      </c>
      <c r="M18" s="43"/>
      <c r="N18" s="43"/>
      <c r="O18" s="43"/>
      <c r="P18" s="40"/>
      <c r="Q18" s="41">
        <f t="shared" si="2"/>
        <v>346.86</v>
      </c>
    </row>
    <row r="19" spans="2:17" x14ac:dyDescent="0.45">
      <c r="B19" s="42" t="s">
        <v>18</v>
      </c>
      <c r="C19" s="43"/>
      <c r="D19" s="43"/>
      <c r="E19" s="43"/>
      <c r="F19" s="43">
        <v>3402</v>
      </c>
      <c r="G19" s="43"/>
      <c r="H19" s="43">
        <f>1260+60+252</f>
        <v>1572</v>
      </c>
      <c r="I19" s="43"/>
      <c r="J19" s="43">
        <f>126+60+756</f>
        <v>942</v>
      </c>
      <c r="K19" s="43"/>
      <c r="L19" s="43">
        <v>378</v>
      </c>
      <c r="M19" s="43">
        <f>252</f>
        <v>252</v>
      </c>
      <c r="N19" s="43"/>
      <c r="O19" s="43"/>
      <c r="P19" s="40"/>
      <c r="Q19" s="41">
        <f t="shared" si="2"/>
        <v>6546</v>
      </c>
    </row>
    <row r="20" spans="2:17" x14ac:dyDescent="0.45">
      <c r="B20" s="42" t="s">
        <v>19</v>
      </c>
      <c r="C20" s="43"/>
      <c r="D20" s="43"/>
      <c r="E20" s="43"/>
      <c r="F20" s="43"/>
      <c r="G20" s="43"/>
      <c r="H20" s="43"/>
      <c r="I20" s="43">
        <v>4735.51</v>
      </c>
      <c r="J20" s="43"/>
      <c r="K20" s="43"/>
      <c r="L20" s="43">
        <f>1825.55</f>
        <v>1825.55</v>
      </c>
      <c r="M20" s="43"/>
      <c r="N20" s="43">
        <f>8611.41</f>
        <v>8611.41</v>
      </c>
      <c r="O20" s="43"/>
      <c r="P20" s="40"/>
      <c r="Q20" s="41">
        <f t="shared" si="2"/>
        <v>15172.470000000001</v>
      </c>
    </row>
    <row r="21" spans="2:17" x14ac:dyDescent="0.45">
      <c r="B21" s="42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>
        <f>399.6+464.4+327.6</f>
        <v>1191.5999999999999</v>
      </c>
      <c r="N21" s="43"/>
      <c r="O21" s="43"/>
      <c r="P21" s="40"/>
      <c r="Q21" s="41">
        <f t="shared" si="2"/>
        <v>1191.5999999999999</v>
      </c>
    </row>
    <row r="22" spans="2:17" x14ac:dyDescent="0.45">
      <c r="B22" s="42" t="s">
        <v>21</v>
      </c>
      <c r="C22" s="43"/>
      <c r="D22" s="43">
        <v>108</v>
      </c>
      <c r="E22" s="43">
        <v>216</v>
      </c>
      <c r="F22" s="43">
        <f>216+324</f>
        <v>540</v>
      </c>
      <c r="G22" s="43"/>
      <c r="H22" s="43">
        <v>324</v>
      </c>
      <c r="I22" s="43">
        <f>324+324</f>
        <v>648</v>
      </c>
      <c r="J22" s="43">
        <v>324</v>
      </c>
      <c r="K22" s="43"/>
      <c r="L22" s="43">
        <v>324</v>
      </c>
      <c r="M22" s="43">
        <v>324</v>
      </c>
      <c r="N22" s="43">
        <v>324</v>
      </c>
      <c r="O22" s="43"/>
      <c r="P22" s="40"/>
      <c r="Q22" s="41">
        <f t="shared" si="2"/>
        <v>3132</v>
      </c>
    </row>
    <row r="23" spans="2:17" x14ac:dyDescent="0.45"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7"/>
      <c r="P23" s="40"/>
      <c r="Q23" s="41">
        <f t="shared" si="2"/>
        <v>0</v>
      </c>
    </row>
    <row r="24" spans="2:17" x14ac:dyDescent="0.45">
      <c r="B24" s="44" t="s">
        <v>22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0"/>
      <c r="Q24" s="41">
        <f t="shared" si="2"/>
        <v>0</v>
      </c>
    </row>
    <row r="25" spans="2:17" x14ac:dyDescent="0.45">
      <c r="B25" s="45" t="s">
        <v>23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0"/>
      <c r="Q25" s="41">
        <f t="shared" si="2"/>
        <v>0</v>
      </c>
    </row>
    <row r="26" spans="2:17" x14ac:dyDescent="0.45">
      <c r="B26" s="45" t="s">
        <v>24</v>
      </c>
      <c r="C26" s="43"/>
      <c r="D26" s="43"/>
      <c r="E26" s="43">
        <v>6600</v>
      </c>
      <c r="F26" s="43">
        <v>6600</v>
      </c>
      <c r="G26" s="43"/>
      <c r="H26" s="43"/>
      <c r="I26" s="43">
        <f>12000+12000</f>
        <v>24000</v>
      </c>
      <c r="J26" s="43">
        <f>12000</f>
        <v>12000</v>
      </c>
      <c r="K26" s="43"/>
      <c r="L26" s="43">
        <f>12000+12000</f>
        <v>24000</v>
      </c>
      <c r="M26" s="43"/>
      <c r="N26" s="43">
        <v>12000</v>
      </c>
      <c r="O26" s="43"/>
      <c r="P26" s="40"/>
      <c r="Q26" s="41">
        <f t="shared" si="2"/>
        <v>85200</v>
      </c>
    </row>
    <row r="27" spans="2:17" ht="15" customHeight="1" x14ac:dyDescent="0.45">
      <c r="B27" s="45" t="s">
        <v>25</v>
      </c>
      <c r="C27" s="43"/>
      <c r="D27" s="43">
        <f>43.06+104.3+11.7+1.2+38.7+10.95+43.06</f>
        <v>252.96999999999997</v>
      </c>
      <c r="E27" s="43">
        <f>50.5+173+62+26.3+40.7+43+1.2+243+12.05</f>
        <v>651.75</v>
      </c>
      <c r="F27" s="43">
        <f>1.2+439+664+235.5</f>
        <v>1339.7</v>
      </c>
      <c r="G27" s="43">
        <f>55.37+1.2</f>
        <v>56.57</v>
      </c>
      <c r="H27" s="43">
        <f>53.82+7.16+1.28+1.2+23+5+7.16+46.7</f>
        <v>145.32</v>
      </c>
      <c r="I27" s="43">
        <f>36.9+22.98+8.5+5.99+12+1.2+54+33.8</f>
        <v>175.37</v>
      </c>
      <c r="J27" s="43">
        <f>4.32+5.14+47.38+1.2+3.37</f>
        <v>61.410000000000004</v>
      </c>
      <c r="K27" s="43">
        <f>1.2+53.26+48.18</f>
        <v>102.64</v>
      </c>
      <c r="L27" s="43">
        <f>6.42+132.5+1487.65+1487.65+1.2+34.8+653.78+3199.6+31.35+74.2</f>
        <v>7109.1500000000005</v>
      </c>
      <c r="M27" s="43">
        <f>418.24+1.28+287.6+135.11+44.7+3.37+276+55.99+70.5+27.6+99+30+85.4+2958+220</f>
        <v>4712.79</v>
      </c>
      <c r="N27" s="43"/>
      <c r="O27" s="43"/>
      <c r="P27" s="40"/>
      <c r="Q27" s="41">
        <f t="shared" si="2"/>
        <v>14607.670000000002</v>
      </c>
    </row>
    <row r="28" spans="2:17" ht="15" customHeight="1" x14ac:dyDescent="0.45">
      <c r="B28" s="21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0"/>
      <c r="Q28" s="41">
        <f t="shared" si="2"/>
        <v>0</v>
      </c>
    </row>
    <row r="29" spans="2:17" x14ac:dyDescent="0.45">
      <c r="B29" s="46" t="s">
        <v>26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0"/>
      <c r="Q29" s="41">
        <f t="shared" si="2"/>
        <v>0</v>
      </c>
    </row>
    <row r="30" spans="2:17" x14ac:dyDescent="0.45">
      <c r="B30" s="46" t="s">
        <v>27</v>
      </c>
      <c r="C30" s="43"/>
      <c r="D30" s="43"/>
      <c r="E30" s="43"/>
      <c r="F30" s="43"/>
      <c r="G30" s="43"/>
      <c r="H30" s="43">
        <v>28803</v>
      </c>
      <c r="I30" s="43"/>
      <c r="J30" s="43"/>
      <c r="K30" s="43">
        <v>150651</v>
      </c>
      <c r="L30" s="43">
        <f>30000+148472</f>
        <v>178472</v>
      </c>
      <c r="M30" s="43">
        <f>100228</f>
        <v>100228</v>
      </c>
      <c r="N30" s="43">
        <v>150000</v>
      </c>
      <c r="O30" s="43"/>
      <c r="P30" s="40"/>
      <c r="Q30" s="41">
        <f t="shared" si="2"/>
        <v>608154</v>
      </c>
    </row>
    <row r="31" spans="2:17" x14ac:dyDescent="0.45">
      <c r="B31" s="46" t="s">
        <v>28</v>
      </c>
      <c r="C31" s="43"/>
      <c r="D31" s="43"/>
      <c r="E31" s="43">
        <f>3900+6600</f>
        <v>10500</v>
      </c>
      <c r="F31" s="43">
        <f>2352+8550+13728+6600+12000</f>
        <v>43230</v>
      </c>
      <c r="G31" s="43">
        <f>9675+13728+12000+840+6600+1629.6+3500+6116.2</f>
        <v>54088.799999999996</v>
      </c>
      <c r="H31" s="43">
        <f>12000+8550+4656+1260+5400+14300+1080+12480+5350.94+10800+840+6600+5354.4</f>
        <v>88671.34</v>
      </c>
      <c r="I31" s="43">
        <f>840+5400+4306.8+1080</f>
        <v>11626.8</v>
      </c>
      <c r="J31" s="43">
        <f>2505+4050+4423.2+840+5700</f>
        <v>17518.2</v>
      </c>
      <c r="K31" s="43">
        <f>3600+11477.4</f>
        <v>15077.4</v>
      </c>
      <c r="L31" s="43">
        <f>3841.2+840+6000+1620+4800+3492+840+5850</f>
        <v>27283.200000000001</v>
      </c>
      <c r="M31" s="43">
        <f>4772.4+4320+840+3750+4545</f>
        <v>18227.400000000001</v>
      </c>
      <c r="N31" s="43">
        <v>15188.4</v>
      </c>
      <c r="O31" s="43"/>
      <c r="P31" s="40"/>
      <c r="Q31" s="41">
        <f t="shared" si="2"/>
        <v>301411.54000000004</v>
      </c>
    </row>
    <row r="32" spans="2:17" x14ac:dyDescent="0.45">
      <c r="B32" s="21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0"/>
      <c r="Q32" s="41">
        <f t="shared" si="2"/>
        <v>0</v>
      </c>
    </row>
    <row r="33" spans="2:17" x14ac:dyDescent="0.45">
      <c r="B33" s="47" t="s">
        <v>29</v>
      </c>
      <c r="C33" s="43"/>
      <c r="D33" s="43">
        <f>5393.45+6963.42+3603.05+3845.76+4748.71+4800.83+4588.27+2682.2+4198.99+5330.69+4953.25+4540.36+5793.2+5737.17+5210.66+4871.86+5603.31+5622.89+5371.28+4740.09+4975.84+5889.62+4938.15+6612.4+4856.96</f>
        <v>125872.40999999999</v>
      </c>
      <c r="E33" s="43">
        <f>4740.09+4856.96+5889.62+4938.15+4975.84+6612.4+5371.28+3973.24+3724.6+6025.8+4996.03+2281.82+5393.45+3845.76+5055.27+4800.83+5737.17+5622.89+4198.99+4953.25+4544.7+5603.31+5330.69+5793.2+6962.33+5093.08+4841.69+4507.46+262.04+527.68+5217.98</f>
        <v>146677.6</v>
      </c>
      <c r="F33" s="43">
        <f>6962.33+5393.45+3973.24+3845.76+5093.08+5055.27+6025.8+4740.09+4800.83+4841.69+4856.96+5889.62+5622.89+4996.03+4938.15+5217.98+4198.99+6612.4+4953.25+4507.46+5371.28+5603.31+5330.69+5793.2+2535.12+4727.68+6072.82+3883.63+4592.51+4598.44+5457.37+5680.68+4846.9+1931.4+6227.2</f>
        <v>175177.5</v>
      </c>
      <c r="G33" s="43">
        <f>5393.45+4727.68+5093.08+5055.27+4800.83+4740.09+4841.69+4856.96+5889.62+5622.89+4996.03+4938.15+4198.99+6612.4+4953.25+4507.46+4598.44+5457.37+5371.28+5603.31+5330.69+5680.68+4846.9+1931.4+5793.2+2425.58+5962.33+5503.4+4529.47+2739.21+3890.93+5681.23+5524.33+5488.5+5307.33+7098.73</f>
        <v>179992.14999999997</v>
      </c>
      <c r="H33" s="43">
        <f>4800.83+4841.69+4856.96+5889.62+5622.89+4996.03+4938.15+5524.33+5488.5+7098.73+4198.99+4953.25+5307.33+4507.46+5457.37+5603.31+4846.9+5793.2+5393.45+4727.68+3890.93+5093.08+5681.23+4740.09+5555.27+3974.59+5301.98+4897.87+5680.68+1931.4+4598.44+5330.69+5960.71+5503.4+4529.47</f>
        <v>177516.49999999997</v>
      </c>
      <c r="I33" s="43">
        <f>5889.28+139.22+9222.1+5503.4+5393.45+4529.47+4727.68+5093.08+5555.27+5681.23+4740.09+4800.83+4841.69+4856.96+4996.03+4938.15+5524.33+4198.99+5307.33+4953.25+4507.46+4598.44+5457.37+5330.69+5680.68+4846.9+5921.5+5836.46+6167.99+7098.73+4799.57+4466.41+3801.71+1983.43+5783.4+4750.97+2865.45</f>
        <v>184788.99000000002</v>
      </c>
      <c r="J33" s="43">
        <f>151.94+5268.84+2372.9+7578.02+5581.61+4545.24+5119.8+5465.35+5064.82+4802.84+5737.77+5681.23+4689.38+3123.25+5173.91+5401.22+2376.16+5921.5+4529.47+4727.68+5555.27+4841.69+6167.99+4198.99+5307.33+4953.25+4507.46+5457.37+5680.68+4846.9+5364.26+1983.43+5066.59+5520.07+4569.12+4705.37+4796.95+5755.76+4994.98+5466.95+5058.16+4580.12+5241.99</f>
        <v>207933.61000000004</v>
      </c>
      <c r="K33" s="43">
        <f>4380.59+1701.39+5334.64+4725.8+10557.92+4443.17+4821.58+4745.53+5268.03+4687.14+4772.51+4545.24+4808.36+6951.1+5099.78+5398.95+5466.85+7087.81+3782.84+5303.33+4953.25+4502.05+4473.68+5064.82+4328.08+5191.59+4846.9+5676.56+5681.23+5921.5+5503.4+3656.54+4365.41+6167.99+4378.53+5177.96+5745.86+5680.68+1983.43+5468.8+4421.18+826.44</f>
        <v>207898.43999999997</v>
      </c>
      <c r="L33" s="43">
        <f>1193.14+103.86+724.53+256.21+5921.5+5334.64+4745.53+4772.51+4687.14+4545.24+4808.36+5099.78+5398.95+5466.85+4421.18+4953.25+4473.68+5352.23+5064.82+5745.86+1983.43+5681.23+5439.57+5413.08+4839.15+2877.61+5336.18+4585.47+5036.8+4651.12+4600.73+4812.22+5755.76+6210.89+5987.81+4868.88+5167.18+4403.66+5515.42+5555.27+6951.1+2046.56</f>
        <v>190788.38</v>
      </c>
      <c r="M33" s="43">
        <f>4745.34+5537.56+3131.4+6290.54+944.91+5202.93+5398.95+6210.89+5167.18+4421.18+4403.66+5745.86+5537.56+5681.23+4687.14+5036.8+4978.21+4669.06+1941.61+4511.82+4727.82+4615.81+5719.07+5005.21+5935.28+4831.27+6953.68+3684.7+5654.93+5044.22+5229.73+7061.59+5177.96+5824.21+5786.71+5615.66+5182.04+5118.04+5935.32+4731.26+4199.07+4528.98+4243.51+5569.61</f>
        <v>220619.51000000007</v>
      </c>
      <c r="N33" s="43"/>
      <c r="O33" s="43"/>
      <c r="P33" s="40"/>
      <c r="Q33" s="41">
        <f t="shared" si="2"/>
        <v>1817265.09</v>
      </c>
    </row>
    <row r="34" spans="2:17" x14ac:dyDescent="0.45">
      <c r="B34" s="48" t="s">
        <v>30</v>
      </c>
      <c r="C34" s="43"/>
      <c r="D34" s="43"/>
      <c r="E34" s="43">
        <f>474.88+480.49+592.03+171.86+398.2+981.2+534.82+358.4+457.84+771.66+193.56</f>
        <v>5414.9400000000005</v>
      </c>
      <c r="F34" s="43">
        <f>597+440.8+500.52+118.98+248.14+568.6+313+118.98+384+892+301.71+586.2+649.54+358.4+338.56+720+671.55+491.92+553.17+279.33+308.82+291.7+592.03+892+212.2+158.64+384+372.9+610.51+710.6+345.48+474.88</f>
        <v>14486.16</v>
      </c>
      <c r="G34" s="43"/>
      <c r="H34" s="43">
        <f>597.42+441.09+328.14+247.8+219.95+544.31+257.08+893+324.58+153.34+384.24+324.91+711.12+331.2+369.28+441.09+473.32+217.3+259.94+470.26+289.12+893+312.76+167.28+294.48+287.43+518.13+358.4+423.14+597.42+261.5</f>
        <v>12392.029999999999</v>
      </c>
      <c r="I34" s="43">
        <f>675.96+236+494.94+390.36+643.05+516.06+1034+300.94+181.22+646.79+344.8+476.99</f>
        <v>5941.1100000000006</v>
      </c>
      <c r="J34" s="43">
        <f>264.22+319.91+506.98+374.89+623.6+244.5+279.93+459.04+154.53+299.92+569+364.77+940+277.3+421.3+167.28+471.28+337.41+389.48+290.4+279.52+261.57</f>
        <v>8296.83</v>
      </c>
      <c r="K34" s="43"/>
      <c r="L34" s="43">
        <f>440.34+227.5+519.83+454.6+243.62+318.48+81.81+239.94+643.05+403.45+402.59+376+300.94+571.24+83.64+489.84+324.91+344.8+297.47+644+518.88+479.85+596.44+354.9+476.99+190.89+199.96+569+242.8+497.15+987+348.22+139.4+549.82+489.84+287.43+320.64+385.6+270.54+97.95</f>
        <v>15411.349999999999</v>
      </c>
      <c r="M34" s="43"/>
      <c r="N34" s="43">
        <f>9100</f>
        <v>9100</v>
      </c>
      <c r="O34" s="43"/>
      <c r="P34" s="40"/>
      <c r="Q34" s="41">
        <f t="shared" si="2"/>
        <v>71042.42</v>
      </c>
    </row>
    <row r="35" spans="2:17" x14ac:dyDescent="0.45">
      <c r="B35" s="48" t="s">
        <v>31</v>
      </c>
      <c r="C35" s="43"/>
      <c r="D35" s="43"/>
      <c r="E35" s="43">
        <v>6000</v>
      </c>
      <c r="F35" s="43"/>
      <c r="G35" s="43"/>
      <c r="H35" s="43"/>
      <c r="I35" s="43"/>
      <c r="J35" s="43"/>
      <c r="K35" s="43">
        <v>3500</v>
      </c>
      <c r="L35" s="43">
        <v>4000</v>
      </c>
      <c r="M35" s="43">
        <f>6000</f>
        <v>6000</v>
      </c>
      <c r="N35" s="43"/>
      <c r="O35" s="43"/>
      <c r="P35" s="40"/>
      <c r="Q35" s="41">
        <f t="shared" si="2"/>
        <v>19500</v>
      </c>
    </row>
    <row r="36" spans="2:17" x14ac:dyDescent="0.45">
      <c r="B36" s="48" t="s">
        <v>32</v>
      </c>
      <c r="C36" s="43"/>
      <c r="D36" s="43">
        <f>781.25+253.06+1528+1199.99+39.98+1479+25</f>
        <v>5306.2800000000007</v>
      </c>
      <c r="E36" s="43">
        <f>1609+1609+1990</f>
        <v>5208</v>
      </c>
      <c r="F36" s="43">
        <f>118.8+15+55.2+1179+583.2+31.83</f>
        <v>1983.03</v>
      </c>
      <c r="G36" s="43">
        <f>104.6+3945.73</f>
        <v>4050.33</v>
      </c>
      <c r="H36" s="43">
        <f>20+20</f>
        <v>40</v>
      </c>
      <c r="I36" s="43">
        <f>599+1139+159.99+1479+449</f>
        <v>3825.99</v>
      </c>
      <c r="J36" s="43">
        <f>202.9+20.99+129.99</f>
        <v>353.88</v>
      </c>
      <c r="K36" s="43">
        <f>99.51+899+2799</f>
        <v>3797.51</v>
      </c>
      <c r="L36" s="43">
        <f>124.88+4224+25+104.71+9.07</f>
        <v>4487.66</v>
      </c>
      <c r="M36" s="43">
        <f>119.98+1255.99+1479.2+1479</f>
        <v>4334.17</v>
      </c>
      <c r="N36" s="43">
        <f>1229+68+53.9</f>
        <v>1350.9</v>
      </c>
      <c r="O36" s="43"/>
      <c r="P36" s="40"/>
      <c r="Q36" s="41">
        <f t="shared" si="2"/>
        <v>34737.75</v>
      </c>
    </row>
    <row r="37" spans="2:17" x14ac:dyDescent="0.45">
      <c r="B37" s="48" t="s">
        <v>33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0"/>
      <c r="Q37" s="41">
        <f t="shared" si="2"/>
        <v>0</v>
      </c>
    </row>
    <row r="38" spans="2:17" x14ac:dyDescent="0.45">
      <c r="B38" s="48" t="s">
        <v>34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0"/>
      <c r="Q38" s="41">
        <f t="shared" si="2"/>
        <v>0</v>
      </c>
    </row>
    <row r="39" spans="2:17" x14ac:dyDescent="0.45">
      <c r="B39" s="49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0"/>
      <c r="Q39" s="41">
        <f t="shared" si="2"/>
        <v>0</v>
      </c>
    </row>
    <row r="40" spans="2:17" x14ac:dyDescent="0.45">
      <c r="B40" s="50" t="s">
        <v>35</v>
      </c>
      <c r="C40" s="43"/>
      <c r="D40" s="43">
        <v>28761</v>
      </c>
      <c r="E40" s="43">
        <v>54110</v>
      </c>
      <c r="F40" s="43">
        <v>63309</v>
      </c>
      <c r="G40" s="43">
        <v>74800</v>
      </c>
      <c r="H40" s="43">
        <v>78001</v>
      </c>
      <c r="I40" s="43">
        <f>76370+106</f>
        <v>76476</v>
      </c>
      <c r="J40" s="43">
        <v>79639</v>
      </c>
      <c r="K40" s="43">
        <v>86808</v>
      </c>
      <c r="L40" s="43">
        <f>86+87878</f>
        <v>87964</v>
      </c>
      <c r="M40" s="43">
        <f>91105+13</f>
        <v>91118</v>
      </c>
      <c r="N40" s="43"/>
      <c r="O40" s="43"/>
      <c r="P40" s="40"/>
      <c r="Q40" s="41">
        <f t="shared" si="2"/>
        <v>720986</v>
      </c>
    </row>
    <row r="41" spans="2:17" x14ac:dyDescent="0.45">
      <c r="B41" s="51" t="s">
        <v>36</v>
      </c>
      <c r="C41" s="43"/>
      <c r="D41" s="43">
        <f>1277.47+6157.76+11138.54</f>
        <v>18573.77</v>
      </c>
      <c r="E41" s="43"/>
      <c r="F41" s="43"/>
      <c r="G41" s="43">
        <f>23275.27+19960.77+27554.87</f>
        <v>70790.91</v>
      </c>
      <c r="H41" s="43">
        <v>28854.48</v>
      </c>
      <c r="I41" s="43">
        <v>28890.51</v>
      </c>
      <c r="J41" s="43">
        <v>30338.22</v>
      </c>
      <c r="K41" s="43">
        <v>33083.82</v>
      </c>
      <c r="L41" s="43">
        <v>33376.5</v>
      </c>
      <c r="M41" s="43">
        <v>34519.120000000003</v>
      </c>
      <c r="N41" s="43"/>
      <c r="O41" s="43"/>
      <c r="P41" s="40"/>
      <c r="Q41" s="41">
        <f t="shared" si="2"/>
        <v>278427.33</v>
      </c>
    </row>
    <row r="42" spans="2:17" x14ac:dyDescent="0.45">
      <c r="B42" s="51" t="s">
        <v>37</v>
      </c>
      <c r="C42" s="43"/>
      <c r="D42" s="43"/>
      <c r="E42" s="43">
        <v>1568.6</v>
      </c>
      <c r="F42" s="43"/>
      <c r="G42" s="43"/>
      <c r="H42" s="43">
        <v>6634.62</v>
      </c>
      <c r="I42" s="43"/>
      <c r="J42" s="43"/>
      <c r="K42" s="43">
        <v>8007.3</v>
      </c>
      <c r="L42" s="43"/>
      <c r="M42" s="43">
        <f>9303.72</f>
        <v>9303.7199999999993</v>
      </c>
      <c r="N42" s="43"/>
      <c r="O42" s="43"/>
      <c r="P42" s="40"/>
      <c r="Q42" s="41">
        <f t="shared" si="2"/>
        <v>25514.239999999998</v>
      </c>
    </row>
    <row r="43" spans="2:17" x14ac:dyDescent="0.45">
      <c r="B43" s="51" t="s">
        <v>38</v>
      </c>
      <c r="C43" s="43"/>
      <c r="D43" s="43">
        <v>1597.65</v>
      </c>
      <c r="E43" s="43"/>
      <c r="F43" s="43"/>
      <c r="G43" s="43"/>
      <c r="H43" s="43">
        <v>6466.56</v>
      </c>
      <c r="I43" s="43"/>
      <c r="J43" s="43"/>
      <c r="K43" s="43">
        <v>7969.21</v>
      </c>
      <c r="L43" s="43"/>
      <c r="M43" s="43">
        <f>8970.24</f>
        <v>8970.24</v>
      </c>
      <c r="N43" s="43"/>
      <c r="O43" s="43"/>
      <c r="P43" s="40"/>
      <c r="Q43" s="41">
        <f t="shared" si="2"/>
        <v>25003.660000000003</v>
      </c>
    </row>
    <row r="44" spans="2:17" ht="14.65" thickBot="1" x14ac:dyDescent="0.5">
      <c r="B44" s="51" t="s">
        <v>39</v>
      </c>
      <c r="C44" s="43"/>
      <c r="D44" s="43">
        <v>4576</v>
      </c>
      <c r="E44" s="43">
        <v>8270</v>
      </c>
      <c r="F44" s="43">
        <v>9325</v>
      </c>
      <c r="G44" s="43">
        <f>9753</f>
        <v>9753</v>
      </c>
      <c r="H44" s="43">
        <v>11236</v>
      </c>
      <c r="I44" s="43">
        <v>12193</v>
      </c>
      <c r="J44" s="43">
        <v>13276</v>
      </c>
      <c r="K44" s="43">
        <f>15847</f>
        <v>15847</v>
      </c>
      <c r="L44" s="43">
        <f>16584</f>
        <v>16584</v>
      </c>
      <c r="M44" s="43">
        <f>16198</f>
        <v>16198</v>
      </c>
      <c r="N44" s="43"/>
      <c r="O44" s="43"/>
      <c r="P44" s="40"/>
      <c r="Q44" s="41">
        <f t="shared" si="2"/>
        <v>117258</v>
      </c>
    </row>
    <row r="45" spans="2:17" ht="16.149999999999999" thickBot="1" x14ac:dyDescent="0.55000000000000004">
      <c r="B45" s="52" t="s">
        <v>40</v>
      </c>
      <c r="C45" s="53">
        <f>+SUM(C17:C44)</f>
        <v>0</v>
      </c>
      <c r="D45" s="53">
        <f t="shared" ref="D45:O45" si="3">+SUM(D17:D44)</f>
        <v>185121.94999999998</v>
      </c>
      <c r="E45" s="53">
        <f t="shared" si="3"/>
        <v>245255.43000000002</v>
      </c>
      <c r="F45" s="53">
        <f t="shared" si="3"/>
        <v>319430.93</v>
      </c>
      <c r="G45" s="53">
        <f t="shared" si="3"/>
        <v>393571.40999999992</v>
      </c>
      <c r="H45" s="53">
        <f t="shared" si="3"/>
        <v>441672.98999999993</v>
      </c>
      <c r="I45" s="53">
        <f t="shared" si="3"/>
        <v>353345.82</v>
      </c>
      <c r="J45" s="53">
        <f t="shared" si="3"/>
        <v>373493.19000000006</v>
      </c>
      <c r="K45" s="53">
        <f t="shared" si="3"/>
        <v>532790.06000000006</v>
      </c>
      <c r="L45" s="53">
        <f t="shared" si="3"/>
        <v>599378.73</v>
      </c>
      <c r="M45" s="53">
        <f t="shared" si="3"/>
        <v>516040.39</v>
      </c>
      <c r="N45" s="53">
        <f t="shared" si="3"/>
        <v>196622.71</v>
      </c>
      <c r="O45" s="53">
        <f t="shared" si="3"/>
        <v>0</v>
      </c>
      <c r="P45" s="54"/>
      <c r="Q45" s="55">
        <f>+SUM(C45:O45)</f>
        <v>4156723.6100000003</v>
      </c>
    </row>
    <row r="46" spans="2:17" ht="14.65" thickBot="1" x14ac:dyDescent="0.5">
      <c r="B46" s="56"/>
      <c r="C46" s="57"/>
      <c r="D46" s="57"/>
      <c r="E46" s="57"/>
      <c r="F46" s="57"/>
      <c r="G46" s="57"/>
      <c r="H46" s="57"/>
      <c r="I46" s="57"/>
      <c r="J46" s="57"/>
      <c r="K46" s="57"/>
      <c r="M46" s="57"/>
      <c r="N46" s="57"/>
      <c r="P46" s="40"/>
    </row>
    <row r="47" spans="2:17" ht="15.75" x14ac:dyDescent="0.5">
      <c r="B47" s="63" t="s">
        <v>41</v>
      </c>
      <c r="C47" s="58">
        <f>C14-C45</f>
        <v>10503.67</v>
      </c>
      <c r="D47" s="58">
        <f t="shared" ref="D47:O47" si="4">D14-D45</f>
        <v>4121.2500000000291</v>
      </c>
      <c r="E47" s="58">
        <f t="shared" si="4"/>
        <v>38954.569999999978</v>
      </c>
      <c r="F47" s="58">
        <f t="shared" si="4"/>
        <v>31915.869999999995</v>
      </c>
      <c r="G47" s="58">
        <f t="shared" si="4"/>
        <v>-43503.889999999898</v>
      </c>
      <c r="H47" s="58">
        <f t="shared" si="4"/>
        <v>43632.210000000079</v>
      </c>
      <c r="I47" s="58">
        <f t="shared" si="4"/>
        <v>52779</v>
      </c>
      <c r="J47" s="58">
        <f t="shared" si="4"/>
        <v>93600.809999999939</v>
      </c>
      <c r="K47" s="58">
        <f t="shared" si="4"/>
        <v>-13798.460000000079</v>
      </c>
      <c r="L47" s="58">
        <f t="shared" si="4"/>
        <v>-129449.21999999997</v>
      </c>
      <c r="M47" s="58">
        <f t="shared" si="4"/>
        <v>39679.370000000112</v>
      </c>
      <c r="N47" s="58">
        <f t="shared" si="4"/>
        <v>376324.39</v>
      </c>
      <c r="O47" s="58">
        <f t="shared" si="4"/>
        <v>0</v>
      </c>
      <c r="P47" s="59"/>
      <c r="Q47" s="60">
        <f>Q14-Q45</f>
        <v>504759.5700000003</v>
      </c>
    </row>
    <row r="48" spans="2:17" ht="16.149999999999999" thickBot="1" x14ac:dyDescent="0.55000000000000004">
      <c r="B48" s="64" t="s">
        <v>42</v>
      </c>
      <c r="C48" s="58">
        <f>C47</f>
        <v>10503.67</v>
      </c>
      <c r="D48" s="58">
        <f>C48+D47</f>
        <v>14624.920000000029</v>
      </c>
      <c r="E48" s="58">
        <f t="shared" ref="E48:O48" si="5">D48+E47</f>
        <v>53579.490000000005</v>
      </c>
      <c r="F48" s="58">
        <f t="shared" si="5"/>
        <v>85495.360000000001</v>
      </c>
      <c r="G48" s="58">
        <f t="shared" si="5"/>
        <v>41991.470000000103</v>
      </c>
      <c r="H48" s="58">
        <f t="shared" si="5"/>
        <v>85623.680000000182</v>
      </c>
      <c r="I48" s="58">
        <f t="shared" si="5"/>
        <v>138402.68000000017</v>
      </c>
      <c r="J48" s="58">
        <f t="shared" si="5"/>
        <v>232003.49000000011</v>
      </c>
      <c r="K48" s="58">
        <f t="shared" si="5"/>
        <v>218205.03000000003</v>
      </c>
      <c r="L48" s="58">
        <f t="shared" si="5"/>
        <v>88755.810000000056</v>
      </c>
      <c r="M48" s="58">
        <f t="shared" si="5"/>
        <v>128435.18000000017</v>
      </c>
      <c r="N48" s="58">
        <f t="shared" si="5"/>
        <v>504759.57000000018</v>
      </c>
      <c r="O48" s="58">
        <f t="shared" si="5"/>
        <v>504759.57000000018</v>
      </c>
      <c r="P48" s="59"/>
      <c r="Q48" s="60"/>
    </row>
  </sheetData>
  <mergeCells count="1">
    <mergeCell ref="B2:C3"/>
  </mergeCells>
  <conditionalFormatting sqref="C47:Q48">
    <cfRule type="cellIs" dxfId="3" priority="1" operator="lessThan">
      <formula>0</formula>
    </cfRule>
    <cfRule type="cellIs" dxfId="2" priority="2" operator="greaterThan">
      <formula>0</formula>
    </cfRule>
  </conditionalFormatting>
  <conditionalFormatting sqref="Q45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23C40-F25E-423E-A2F5-B171BE0109DD}">
  <dimension ref="B1:Q51"/>
  <sheetViews>
    <sheetView workbookViewId="0">
      <selection activeCell="D32" sqref="D32"/>
    </sheetView>
  </sheetViews>
  <sheetFormatPr baseColWidth="10" defaultColWidth="9.1328125" defaultRowHeight="14.25" x14ac:dyDescent="0.45"/>
  <cols>
    <col min="1" max="1" width="4.1328125" style="3" customWidth="1"/>
    <col min="2" max="2" width="37.1328125" style="3" bestFit="1" customWidth="1"/>
    <col min="3" max="3" width="16.53125" style="2" customWidth="1"/>
    <col min="4" max="4" width="16.46484375" style="2" customWidth="1"/>
    <col min="5" max="9" width="16.53125" style="2" customWidth="1"/>
    <col min="10" max="15" width="15.19921875" style="2" bestFit="1" customWidth="1"/>
    <col min="16" max="16" width="0.33203125" customWidth="1"/>
    <col min="17" max="17" width="15.46484375" style="2" bestFit="1" customWidth="1"/>
    <col min="18" max="16384" width="9.1328125" style="3"/>
  </cols>
  <sheetData>
    <row r="1" spans="2:17" ht="18" x14ac:dyDescent="0.45">
      <c r="B1" s="79" t="s">
        <v>43</v>
      </c>
      <c r="C1" s="79"/>
      <c r="D1" s="1">
        <f t="shared" ref="D1:O1" si="0">+D47</f>
        <v>-52737.329999999973</v>
      </c>
      <c r="E1" s="1">
        <f t="shared" si="0"/>
        <v>-52737.329999999973</v>
      </c>
      <c r="F1" s="1">
        <f t="shared" si="0"/>
        <v>-52737.329999999973</v>
      </c>
      <c r="G1" s="1">
        <f t="shared" si="0"/>
        <v>-52737.329999999973</v>
      </c>
      <c r="H1" s="1">
        <f t="shared" si="0"/>
        <v>-52737.329999999973</v>
      </c>
      <c r="I1" s="1">
        <f t="shared" si="0"/>
        <v>-52737.329999999973</v>
      </c>
      <c r="J1" s="1">
        <f t="shared" si="0"/>
        <v>-52737.329999999973</v>
      </c>
      <c r="K1" s="1">
        <f t="shared" si="0"/>
        <v>-52737.329999999973</v>
      </c>
      <c r="L1" s="1">
        <f t="shared" si="0"/>
        <v>-52737.329999999973</v>
      </c>
      <c r="M1" s="1">
        <f t="shared" si="0"/>
        <v>-52737.329999999973</v>
      </c>
      <c r="N1" s="1">
        <f t="shared" si="0"/>
        <v>-52737.329999999973</v>
      </c>
      <c r="O1" s="1">
        <f t="shared" si="0"/>
        <v>-52737.329999999973</v>
      </c>
      <c r="P1" s="2">
        <f>P47</f>
        <v>0</v>
      </c>
    </row>
    <row r="2" spans="2:17" ht="28.9" thickBot="1" x14ac:dyDescent="0.5">
      <c r="B2" s="80"/>
      <c r="C2" s="80"/>
      <c r="D2" s="61"/>
      <c r="E2" s="61"/>
      <c r="F2" s="61"/>
      <c r="G2" s="61"/>
      <c r="H2" s="61"/>
      <c r="I2" s="61"/>
    </row>
    <row r="3" spans="2:17" s="10" customFormat="1" ht="16.149999999999999" thickBot="1" x14ac:dyDescent="0.5">
      <c r="B3" s="4" t="s">
        <v>0</v>
      </c>
      <c r="C3" s="5" t="s">
        <v>1</v>
      </c>
      <c r="D3" s="5" t="s">
        <v>44</v>
      </c>
      <c r="E3" s="5" t="s">
        <v>45</v>
      </c>
      <c r="F3" s="5" t="s">
        <v>46</v>
      </c>
      <c r="G3" s="5" t="s">
        <v>47</v>
      </c>
      <c r="H3" s="5" t="s">
        <v>48</v>
      </c>
      <c r="I3" s="5" t="s">
        <v>49</v>
      </c>
      <c r="J3" s="6" t="s">
        <v>50</v>
      </c>
      <c r="K3" s="6" t="s">
        <v>51</v>
      </c>
      <c r="L3" s="7" t="s">
        <v>52</v>
      </c>
      <c r="M3" s="6" t="s">
        <v>2</v>
      </c>
      <c r="N3" s="6" t="s">
        <v>3</v>
      </c>
      <c r="O3" s="7" t="s">
        <v>4</v>
      </c>
      <c r="P3" s="8"/>
      <c r="Q3" s="9" t="s">
        <v>5</v>
      </c>
    </row>
    <row r="4" spans="2:17" ht="16.149999999999999" thickBot="1" x14ac:dyDescent="0.55000000000000004">
      <c r="B4" s="11" t="s">
        <v>6</v>
      </c>
      <c r="C4" s="12"/>
      <c r="D4" s="12"/>
      <c r="E4" s="12"/>
      <c r="F4" s="12"/>
      <c r="G4" s="12"/>
      <c r="H4" s="12"/>
      <c r="I4" s="12"/>
      <c r="J4" s="12"/>
      <c r="K4" s="12"/>
      <c r="L4" s="13"/>
      <c r="M4" s="12"/>
      <c r="N4" s="12"/>
      <c r="O4" s="13"/>
      <c r="P4" s="14"/>
      <c r="Q4" s="15"/>
    </row>
    <row r="5" spans="2:17" x14ac:dyDescent="0.45">
      <c r="B5" s="16" t="s">
        <v>7</v>
      </c>
      <c r="C5" s="17">
        <v>10503.67</v>
      </c>
      <c r="D5" s="17"/>
      <c r="E5" s="18"/>
      <c r="F5" s="17"/>
      <c r="G5" s="17"/>
      <c r="H5" s="18"/>
      <c r="I5" s="17"/>
      <c r="J5" s="17"/>
      <c r="K5" s="17"/>
      <c r="L5" s="18"/>
      <c r="M5" s="17"/>
      <c r="N5" s="17"/>
      <c r="O5" s="18"/>
      <c r="P5" s="19"/>
      <c r="Q5" s="20">
        <f>SUM(C5:O5)</f>
        <v>10503.67</v>
      </c>
    </row>
    <row r="6" spans="2:17" x14ac:dyDescent="0.45">
      <c r="B6" s="21" t="s">
        <v>8</v>
      </c>
      <c r="C6" s="22"/>
      <c r="D6" s="22"/>
      <c r="E6" s="23"/>
      <c r="F6" s="22"/>
      <c r="G6" s="22"/>
      <c r="H6" s="23"/>
      <c r="I6" s="22"/>
      <c r="J6" s="22"/>
      <c r="K6" s="22"/>
      <c r="L6" s="23"/>
      <c r="M6" s="22"/>
      <c r="N6" s="22"/>
      <c r="O6" s="23"/>
      <c r="P6" s="19"/>
      <c r="Q6" s="24">
        <f>SUM(C6:O6)</f>
        <v>0</v>
      </c>
    </row>
    <row r="7" spans="2:17" x14ac:dyDescent="0.45">
      <c r="B7" s="21" t="s">
        <v>9</v>
      </c>
      <c r="C7" s="22"/>
      <c r="D7" s="22"/>
      <c r="E7" s="23"/>
      <c r="F7" s="22"/>
      <c r="G7" s="22"/>
      <c r="H7" s="23"/>
      <c r="I7" s="22"/>
      <c r="J7" s="22"/>
      <c r="K7" s="22"/>
      <c r="L7" s="23"/>
      <c r="M7" s="22"/>
      <c r="N7" s="22"/>
      <c r="O7" s="23"/>
      <c r="P7" s="19"/>
      <c r="Q7" s="24">
        <f>SUM(C7:O7)</f>
        <v>0</v>
      </c>
    </row>
    <row r="8" spans="2:17" ht="15" customHeight="1" x14ac:dyDescent="0.45">
      <c r="B8" s="25" t="s">
        <v>10</v>
      </c>
      <c r="C8" s="26"/>
      <c r="D8" s="26"/>
      <c r="E8" s="27"/>
      <c r="F8" s="26"/>
      <c r="G8" s="26"/>
      <c r="H8" s="27"/>
      <c r="I8" s="26"/>
      <c r="J8" s="26"/>
      <c r="K8" s="26"/>
      <c r="L8" s="27"/>
      <c r="M8" s="26"/>
      <c r="N8" s="26"/>
      <c r="O8" s="27"/>
      <c r="P8" s="19"/>
      <c r="Q8" s="28">
        <f>SUM(C8:O8)</f>
        <v>0</v>
      </c>
    </row>
    <row r="9" spans="2:17" ht="1.5" customHeight="1" x14ac:dyDescent="0.45">
      <c r="B9" s="29"/>
      <c r="C9" s="30"/>
      <c r="D9" s="30"/>
      <c r="E9" s="31"/>
      <c r="F9" s="30"/>
      <c r="G9" s="30"/>
      <c r="H9" s="31"/>
      <c r="I9" s="30"/>
      <c r="J9" s="30"/>
      <c r="K9" s="30"/>
      <c r="L9" s="31"/>
      <c r="M9" s="30"/>
      <c r="N9" s="30"/>
      <c r="O9" s="31"/>
      <c r="P9" s="19"/>
      <c r="Q9" s="32"/>
    </row>
    <row r="10" spans="2:17" x14ac:dyDescent="0.45">
      <c r="B10" s="16" t="s">
        <v>11</v>
      </c>
      <c r="C10" s="17"/>
      <c r="D10" s="17">
        <f>4345.2+3744+12642+14520+12672+13728+11760+13680+2160+10800+43332</f>
        <v>143383.20000000001</v>
      </c>
      <c r="E10" s="18"/>
      <c r="F10" s="17"/>
      <c r="G10" s="17"/>
      <c r="H10" s="18"/>
      <c r="I10" s="17"/>
      <c r="J10" s="17"/>
      <c r="K10" s="17"/>
      <c r="L10" s="18"/>
      <c r="M10" s="17"/>
      <c r="N10" s="17"/>
      <c r="O10" s="18"/>
      <c r="P10" s="19"/>
      <c r="Q10" s="20">
        <f>SUM(C10:O10)</f>
        <v>143383.20000000001</v>
      </c>
    </row>
    <row r="11" spans="2:17" x14ac:dyDescent="0.45">
      <c r="B11" s="16" t="s">
        <v>12</v>
      </c>
      <c r="C11" s="17"/>
      <c r="D11" s="17"/>
      <c r="E11" s="18"/>
      <c r="F11" s="17"/>
      <c r="G11" s="17"/>
      <c r="H11" s="18"/>
      <c r="I11" s="17"/>
      <c r="J11" s="17"/>
      <c r="K11" s="17"/>
      <c r="L11" s="18"/>
      <c r="M11" s="17"/>
      <c r="N11" s="17"/>
      <c r="O11" s="18"/>
      <c r="P11" s="19"/>
      <c r="Q11" s="20">
        <f>SUM(C11:O11)</f>
        <v>0</v>
      </c>
    </row>
    <row r="12" spans="2:17" ht="14.65" thickBot="1" x14ac:dyDescent="0.5">
      <c r="B12" s="21" t="s">
        <v>13</v>
      </c>
      <c r="C12" s="22"/>
      <c r="D12" s="22"/>
      <c r="E12" s="23"/>
      <c r="F12" s="22"/>
      <c r="G12" s="22"/>
      <c r="H12" s="23"/>
      <c r="I12" s="22"/>
      <c r="J12" s="22"/>
      <c r="K12" s="22"/>
      <c r="L12" s="23"/>
      <c r="M12" s="22"/>
      <c r="N12" s="22"/>
      <c r="O12" s="23"/>
      <c r="P12" s="19"/>
      <c r="Q12" s="24">
        <f>SUM(C12:O12)</f>
        <v>0</v>
      </c>
    </row>
    <row r="13" spans="2:17" s="10" customFormat="1" ht="16.149999999999999" thickBot="1" x14ac:dyDescent="0.5">
      <c r="B13" s="33" t="s">
        <v>14</v>
      </c>
      <c r="C13" s="34">
        <f>SUM(C5:C12)</f>
        <v>10503.67</v>
      </c>
      <c r="D13" s="34">
        <f t="shared" ref="D13:O13" si="1">SUM(D5:D12)</f>
        <v>143383.20000000001</v>
      </c>
      <c r="E13" s="34">
        <f t="shared" si="1"/>
        <v>0</v>
      </c>
      <c r="F13" s="34">
        <f t="shared" si="1"/>
        <v>0</v>
      </c>
      <c r="G13" s="34">
        <f t="shared" si="1"/>
        <v>0</v>
      </c>
      <c r="H13" s="34">
        <f t="shared" si="1"/>
        <v>0</v>
      </c>
      <c r="I13" s="34">
        <f t="shared" si="1"/>
        <v>0</v>
      </c>
      <c r="J13" s="34">
        <f t="shared" si="1"/>
        <v>0</v>
      </c>
      <c r="K13" s="34">
        <f t="shared" si="1"/>
        <v>0</v>
      </c>
      <c r="L13" s="34">
        <f t="shared" si="1"/>
        <v>0</v>
      </c>
      <c r="M13" s="34">
        <f t="shared" si="1"/>
        <v>0</v>
      </c>
      <c r="N13" s="34">
        <f t="shared" si="1"/>
        <v>0</v>
      </c>
      <c r="O13" s="34">
        <f t="shared" si="1"/>
        <v>0</v>
      </c>
      <c r="P13" s="35"/>
      <c r="Q13" s="36">
        <f>SUM(C13:O13)</f>
        <v>153886.87000000002</v>
      </c>
    </row>
    <row r="14" spans="2:17" ht="14.65" thickBot="1" x14ac:dyDescent="0.5"/>
    <row r="15" spans="2:17" ht="16.149999999999999" thickBot="1" x14ac:dyDescent="0.55000000000000004">
      <c r="B15" s="37" t="s">
        <v>15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62"/>
    </row>
    <row r="16" spans="2:17" x14ac:dyDescent="0.45">
      <c r="B16" s="39" t="s">
        <v>16</v>
      </c>
      <c r="C16" s="43"/>
      <c r="D16" s="43">
        <v>35.33</v>
      </c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0"/>
      <c r="Q16" s="41">
        <f t="shared" ref="Q16:Q43" si="2">+SUM(C16:O16)</f>
        <v>35.33</v>
      </c>
    </row>
    <row r="17" spans="2:17" x14ac:dyDescent="0.45">
      <c r="B17" s="42" t="s">
        <v>17</v>
      </c>
      <c r="C17" s="43"/>
      <c r="D17" s="43">
        <v>38.54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0"/>
      <c r="Q17" s="41">
        <f t="shared" si="2"/>
        <v>38.54</v>
      </c>
    </row>
    <row r="18" spans="2:17" x14ac:dyDescent="0.45">
      <c r="B18" s="42" t="s">
        <v>18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0"/>
      <c r="Q18" s="41">
        <f t="shared" si="2"/>
        <v>0</v>
      </c>
    </row>
    <row r="19" spans="2:17" x14ac:dyDescent="0.45">
      <c r="B19" s="42" t="s">
        <v>19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0"/>
      <c r="Q19" s="41">
        <f t="shared" si="2"/>
        <v>0</v>
      </c>
    </row>
    <row r="20" spans="2:17" x14ac:dyDescent="0.45">
      <c r="B20" s="42" t="s">
        <v>20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0"/>
      <c r="Q20" s="41">
        <f t="shared" si="2"/>
        <v>0</v>
      </c>
    </row>
    <row r="21" spans="2:17" x14ac:dyDescent="0.45">
      <c r="B21" s="42" t="s">
        <v>21</v>
      </c>
      <c r="C21" s="43"/>
      <c r="D21" s="43">
        <v>108</v>
      </c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0"/>
      <c r="Q21" s="41">
        <f t="shared" si="2"/>
        <v>108</v>
      </c>
    </row>
    <row r="22" spans="2:17" x14ac:dyDescent="0.45">
      <c r="B22" s="65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7"/>
      <c r="P22" s="40"/>
      <c r="Q22" s="41">
        <f t="shared" si="2"/>
        <v>0</v>
      </c>
    </row>
    <row r="23" spans="2:17" x14ac:dyDescent="0.45">
      <c r="B23" s="44" t="s">
        <v>22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0"/>
      <c r="Q23" s="41">
        <f t="shared" si="2"/>
        <v>0</v>
      </c>
    </row>
    <row r="24" spans="2:17" x14ac:dyDescent="0.45">
      <c r="B24" s="45" t="s">
        <v>23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0"/>
      <c r="Q24" s="41">
        <f t="shared" si="2"/>
        <v>0</v>
      </c>
    </row>
    <row r="25" spans="2:17" x14ac:dyDescent="0.45">
      <c r="B25" s="45" t="s">
        <v>24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0"/>
      <c r="Q25" s="41">
        <f t="shared" si="2"/>
        <v>0</v>
      </c>
    </row>
    <row r="26" spans="2:17" ht="15" customHeight="1" x14ac:dyDescent="0.45">
      <c r="B26" s="45" t="s">
        <v>25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0"/>
      <c r="Q26" s="41">
        <f t="shared" si="2"/>
        <v>0</v>
      </c>
    </row>
    <row r="27" spans="2:17" ht="15" customHeight="1" x14ac:dyDescent="0.45">
      <c r="B27" s="21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0"/>
      <c r="Q27" s="41">
        <f t="shared" si="2"/>
        <v>0</v>
      </c>
    </row>
    <row r="28" spans="2:17" x14ac:dyDescent="0.45">
      <c r="B28" s="46" t="s">
        <v>26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0"/>
      <c r="Q28" s="41">
        <f t="shared" si="2"/>
        <v>0</v>
      </c>
    </row>
    <row r="29" spans="2:17" x14ac:dyDescent="0.45">
      <c r="B29" s="46" t="s">
        <v>27</v>
      </c>
      <c r="C29" s="43"/>
      <c r="D29" s="68">
        <v>28803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0"/>
      <c r="Q29" s="41">
        <f t="shared" si="2"/>
        <v>28803</v>
      </c>
    </row>
    <row r="30" spans="2:17" x14ac:dyDescent="0.45">
      <c r="B30" s="46" t="s">
        <v>28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0"/>
      <c r="Q30" s="41">
        <f t="shared" si="2"/>
        <v>0</v>
      </c>
    </row>
    <row r="31" spans="2:17" x14ac:dyDescent="0.45">
      <c r="B31" s="21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0"/>
      <c r="Q31" s="41">
        <f t="shared" si="2"/>
        <v>0</v>
      </c>
    </row>
    <row r="32" spans="2:17" x14ac:dyDescent="0.45">
      <c r="B32" s="47" t="s">
        <v>29</v>
      </c>
      <c r="C32" s="43"/>
      <c r="D32" s="68">
        <v>120000</v>
      </c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0"/>
      <c r="Q32" s="41">
        <f t="shared" si="2"/>
        <v>120000</v>
      </c>
    </row>
    <row r="33" spans="2:17" x14ac:dyDescent="0.45">
      <c r="B33" s="48" t="s">
        <v>30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0"/>
      <c r="Q33" s="41">
        <f t="shared" si="2"/>
        <v>0</v>
      </c>
    </row>
    <row r="34" spans="2:17" x14ac:dyDescent="0.45">
      <c r="B34" s="48" t="s">
        <v>31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0"/>
      <c r="Q34" s="41">
        <f t="shared" si="2"/>
        <v>0</v>
      </c>
    </row>
    <row r="35" spans="2:17" x14ac:dyDescent="0.45">
      <c r="B35" s="48" t="s">
        <v>32</v>
      </c>
      <c r="C35" s="43"/>
      <c r="D35" s="43">
        <f>781.25+253.06+1528</f>
        <v>2562.31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0"/>
      <c r="Q35" s="41">
        <f t="shared" si="2"/>
        <v>2562.31</v>
      </c>
    </row>
    <row r="36" spans="2:17" x14ac:dyDescent="0.45">
      <c r="B36" s="48" t="s">
        <v>33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0"/>
      <c r="Q36" s="41">
        <f t="shared" si="2"/>
        <v>0</v>
      </c>
    </row>
    <row r="37" spans="2:17" x14ac:dyDescent="0.45">
      <c r="B37" s="48" t="s">
        <v>34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0"/>
      <c r="Q37" s="41">
        <f t="shared" si="2"/>
        <v>0</v>
      </c>
    </row>
    <row r="38" spans="2:17" x14ac:dyDescent="0.45">
      <c r="B38" s="49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0"/>
      <c r="Q38" s="41">
        <f t="shared" si="2"/>
        <v>0</v>
      </c>
    </row>
    <row r="39" spans="2:17" x14ac:dyDescent="0.45">
      <c r="B39" s="50" t="s">
        <v>35</v>
      </c>
      <c r="C39" s="43"/>
      <c r="D39" s="43">
        <v>28761</v>
      </c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0"/>
      <c r="Q39" s="41">
        <f t="shared" si="2"/>
        <v>28761</v>
      </c>
    </row>
    <row r="40" spans="2:17" x14ac:dyDescent="0.45">
      <c r="B40" s="51" t="s">
        <v>36</v>
      </c>
      <c r="C40" s="43"/>
      <c r="D40" s="68">
        <v>18573.77</v>
      </c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0"/>
      <c r="Q40" s="41">
        <f t="shared" si="2"/>
        <v>18573.77</v>
      </c>
    </row>
    <row r="41" spans="2:17" x14ac:dyDescent="0.45">
      <c r="B41" s="51" t="s">
        <v>37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0"/>
      <c r="Q41" s="41">
        <f t="shared" si="2"/>
        <v>0</v>
      </c>
    </row>
    <row r="42" spans="2:17" x14ac:dyDescent="0.45">
      <c r="B42" s="51" t="s">
        <v>38</v>
      </c>
      <c r="C42" s="43"/>
      <c r="D42" s="68">
        <v>3166.25</v>
      </c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0"/>
      <c r="Q42" s="41">
        <f t="shared" si="2"/>
        <v>3166.25</v>
      </c>
    </row>
    <row r="43" spans="2:17" ht="14.65" thickBot="1" x14ac:dyDescent="0.5">
      <c r="B43" s="51" t="s">
        <v>39</v>
      </c>
      <c r="C43" s="43"/>
      <c r="D43" s="68">
        <v>4576</v>
      </c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0"/>
      <c r="Q43" s="41">
        <f t="shared" si="2"/>
        <v>4576</v>
      </c>
    </row>
    <row r="44" spans="2:17" ht="16.149999999999999" thickBot="1" x14ac:dyDescent="0.55000000000000004">
      <c r="B44" s="52" t="s">
        <v>40</v>
      </c>
      <c r="C44" s="53">
        <f>+SUM(C16:C43)</f>
        <v>0</v>
      </c>
      <c r="D44" s="53">
        <f t="shared" ref="D44:O44" si="3">+SUM(D16:D43)</f>
        <v>206624.19999999998</v>
      </c>
      <c r="E44" s="53">
        <f t="shared" si="3"/>
        <v>0</v>
      </c>
      <c r="F44" s="53">
        <f t="shared" si="3"/>
        <v>0</v>
      </c>
      <c r="G44" s="53">
        <f t="shared" si="3"/>
        <v>0</v>
      </c>
      <c r="H44" s="53">
        <f t="shared" si="3"/>
        <v>0</v>
      </c>
      <c r="I44" s="53">
        <f t="shared" si="3"/>
        <v>0</v>
      </c>
      <c r="J44" s="53">
        <f t="shared" si="3"/>
        <v>0</v>
      </c>
      <c r="K44" s="53">
        <f t="shared" si="3"/>
        <v>0</v>
      </c>
      <c r="L44" s="53">
        <f t="shared" si="3"/>
        <v>0</v>
      </c>
      <c r="M44" s="53">
        <f t="shared" si="3"/>
        <v>0</v>
      </c>
      <c r="N44" s="53">
        <f t="shared" si="3"/>
        <v>0</v>
      </c>
      <c r="O44" s="53">
        <f t="shared" si="3"/>
        <v>0</v>
      </c>
      <c r="P44" s="54"/>
      <c r="Q44" s="55">
        <f>+SUM(C44:O44)</f>
        <v>206624.19999999998</v>
      </c>
    </row>
    <row r="45" spans="2:17" ht="14.65" thickBot="1" x14ac:dyDescent="0.5">
      <c r="B45" s="56"/>
      <c r="C45" s="57"/>
      <c r="D45" s="57"/>
      <c r="E45" s="57"/>
      <c r="F45" s="57"/>
      <c r="G45" s="57"/>
      <c r="H45" s="57"/>
      <c r="I45" s="57"/>
      <c r="J45" s="57"/>
      <c r="K45" s="57"/>
      <c r="M45" s="57"/>
      <c r="N45" s="57"/>
      <c r="P45" s="40"/>
    </row>
    <row r="46" spans="2:17" ht="15.75" x14ac:dyDescent="0.5">
      <c r="B46" s="63" t="s">
        <v>41</v>
      </c>
      <c r="C46" s="58">
        <f>C13-C44</f>
        <v>10503.67</v>
      </c>
      <c r="D46" s="58">
        <f t="shared" ref="D46:O46" si="4">D13-D44</f>
        <v>-63240.999999999971</v>
      </c>
      <c r="E46" s="58">
        <f t="shared" si="4"/>
        <v>0</v>
      </c>
      <c r="F46" s="58">
        <f t="shared" si="4"/>
        <v>0</v>
      </c>
      <c r="G46" s="58">
        <f t="shared" si="4"/>
        <v>0</v>
      </c>
      <c r="H46" s="58">
        <f t="shared" si="4"/>
        <v>0</v>
      </c>
      <c r="I46" s="58">
        <f t="shared" si="4"/>
        <v>0</v>
      </c>
      <c r="J46" s="58">
        <f t="shared" si="4"/>
        <v>0</v>
      </c>
      <c r="K46" s="58">
        <f t="shared" si="4"/>
        <v>0</v>
      </c>
      <c r="L46" s="58">
        <f t="shared" si="4"/>
        <v>0</v>
      </c>
      <c r="M46" s="58">
        <f t="shared" si="4"/>
        <v>0</v>
      </c>
      <c r="N46" s="58">
        <f t="shared" si="4"/>
        <v>0</v>
      </c>
      <c r="O46" s="58">
        <f t="shared" si="4"/>
        <v>0</v>
      </c>
      <c r="P46" s="59"/>
      <c r="Q46" s="60">
        <f>Q13-Q44</f>
        <v>-52737.329999999958</v>
      </c>
    </row>
    <row r="47" spans="2:17" ht="16.149999999999999" thickBot="1" x14ac:dyDescent="0.55000000000000004">
      <c r="B47" s="64" t="s">
        <v>42</v>
      </c>
      <c r="C47" s="58">
        <f>C46</f>
        <v>10503.67</v>
      </c>
      <c r="D47" s="58">
        <f>C47+D46</f>
        <v>-52737.329999999973</v>
      </c>
      <c r="E47" s="58">
        <f t="shared" ref="E47:O47" si="5">D47+E46</f>
        <v>-52737.329999999973</v>
      </c>
      <c r="F47" s="58">
        <f t="shared" si="5"/>
        <v>-52737.329999999973</v>
      </c>
      <c r="G47" s="58">
        <f t="shared" si="5"/>
        <v>-52737.329999999973</v>
      </c>
      <c r="H47" s="58">
        <f t="shared" si="5"/>
        <v>-52737.329999999973</v>
      </c>
      <c r="I47" s="58">
        <f t="shared" si="5"/>
        <v>-52737.329999999973</v>
      </c>
      <c r="J47" s="58">
        <f t="shared" si="5"/>
        <v>-52737.329999999973</v>
      </c>
      <c r="K47" s="58">
        <f t="shared" si="5"/>
        <v>-52737.329999999973</v>
      </c>
      <c r="L47" s="58">
        <f t="shared" si="5"/>
        <v>-52737.329999999973</v>
      </c>
      <c r="M47" s="58">
        <f t="shared" si="5"/>
        <v>-52737.329999999973</v>
      </c>
      <c r="N47" s="58">
        <f t="shared" si="5"/>
        <v>-52737.329999999973</v>
      </c>
      <c r="O47" s="58">
        <f t="shared" si="5"/>
        <v>-52737.329999999973</v>
      </c>
      <c r="P47" s="59"/>
      <c r="Q47" s="60"/>
    </row>
    <row r="51" spans="3:4" x14ac:dyDescent="0.45">
      <c r="C51" s="70">
        <v>44957</v>
      </c>
      <c r="D51" s="69">
        <v>17135.669999999998</v>
      </c>
    </row>
  </sheetData>
  <mergeCells count="1">
    <mergeCell ref="B1:C2"/>
  </mergeCells>
  <conditionalFormatting sqref="C46:Q47">
    <cfRule type="cellIs" dxfId="43" priority="1" operator="lessThan">
      <formula>0</formula>
    </cfRule>
    <cfRule type="cellIs" dxfId="42" priority="2" operator="greaterThan">
      <formula>0</formula>
    </cfRule>
  </conditionalFormatting>
  <conditionalFormatting sqref="Q44">
    <cfRule type="cellIs" dxfId="41" priority="3" operator="greaterThan">
      <formula>0</formula>
    </cfRule>
    <cfRule type="cellIs" dxfId="40" priority="4" operator="lessThan">
      <formula>0</formula>
    </cfRule>
  </conditionalFormatting>
  <pageMargins left="0.7" right="0.7" top="0.75" bottom="0.75" header="0.3" footer="0.3"/>
  <ignoredErrors>
    <ignoredError sqref="D35" unlockedFormula="1"/>
  </ignoredError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A4C96-7B3E-4CF6-9F3F-F938A63AB850}">
  <dimension ref="B1:Q48"/>
  <sheetViews>
    <sheetView workbookViewId="0">
      <selection activeCell="C39" sqref="C39"/>
    </sheetView>
  </sheetViews>
  <sheetFormatPr baseColWidth="10" defaultColWidth="9.1328125" defaultRowHeight="14.25" x14ac:dyDescent="0.45"/>
  <cols>
    <col min="1" max="1" width="4.1328125" style="3" customWidth="1"/>
    <col min="2" max="2" width="37.1328125" style="3" bestFit="1" customWidth="1"/>
    <col min="3" max="3" width="16.53125" style="2" customWidth="1"/>
    <col min="4" max="4" width="16.46484375" style="2" customWidth="1"/>
    <col min="5" max="9" width="16.53125" style="2" customWidth="1"/>
    <col min="10" max="15" width="15.19921875" style="2" bestFit="1" customWidth="1"/>
    <col min="16" max="16" width="0.33203125" customWidth="1"/>
    <col min="17" max="17" width="15.46484375" style="2" bestFit="1" customWidth="1"/>
    <col min="18" max="16384" width="9.1328125" style="3"/>
  </cols>
  <sheetData>
    <row r="1" spans="2:17" x14ac:dyDescent="0.45">
      <c r="B1" s="71" t="s">
        <v>53</v>
      </c>
    </row>
    <row r="2" spans="2:17" ht="18" x14ac:dyDescent="0.45">
      <c r="B2" s="79" t="s">
        <v>43</v>
      </c>
      <c r="C2" s="79"/>
      <c r="D2" s="1">
        <f t="shared" ref="D2:O2" si="0">+D48</f>
        <v>14624.920000000029</v>
      </c>
      <c r="E2" s="1">
        <f t="shared" si="0"/>
        <v>4177.0900000000129</v>
      </c>
      <c r="F2" s="1">
        <f t="shared" si="0"/>
        <v>4177.0900000000129</v>
      </c>
      <c r="G2" s="1">
        <f t="shared" si="0"/>
        <v>4177.0900000000129</v>
      </c>
      <c r="H2" s="1">
        <f t="shared" si="0"/>
        <v>4177.0900000000129</v>
      </c>
      <c r="I2" s="1">
        <f t="shared" si="0"/>
        <v>4177.0900000000129</v>
      </c>
      <c r="J2" s="1">
        <f t="shared" si="0"/>
        <v>4177.0900000000129</v>
      </c>
      <c r="K2" s="1">
        <f t="shared" si="0"/>
        <v>4177.0900000000129</v>
      </c>
      <c r="L2" s="1">
        <f t="shared" si="0"/>
        <v>4177.0900000000129</v>
      </c>
      <c r="M2" s="1">
        <f t="shared" si="0"/>
        <v>4177.0900000000129</v>
      </c>
      <c r="N2" s="1">
        <f t="shared" si="0"/>
        <v>4177.0900000000129</v>
      </c>
      <c r="O2" s="1">
        <f t="shared" si="0"/>
        <v>4177.0900000000129</v>
      </c>
      <c r="P2" s="2">
        <f>P48</f>
        <v>0</v>
      </c>
    </row>
    <row r="3" spans="2:17" ht="28.9" thickBot="1" x14ac:dyDescent="0.5">
      <c r="B3" s="80"/>
      <c r="C3" s="80"/>
      <c r="D3" s="61"/>
      <c r="E3" s="61"/>
      <c r="F3" s="61"/>
      <c r="G3" s="61"/>
      <c r="H3" s="61"/>
      <c r="I3" s="61"/>
    </row>
    <row r="4" spans="2:17" s="10" customFormat="1" ht="16.149999999999999" thickBot="1" x14ac:dyDescent="0.5">
      <c r="B4" s="4" t="s">
        <v>0</v>
      </c>
      <c r="C4" s="5" t="s">
        <v>1</v>
      </c>
      <c r="D4" s="5" t="s">
        <v>44</v>
      </c>
      <c r="E4" s="5" t="s">
        <v>45</v>
      </c>
      <c r="F4" s="5" t="s">
        <v>46</v>
      </c>
      <c r="G4" s="5" t="s">
        <v>47</v>
      </c>
      <c r="H4" s="5" t="s">
        <v>48</v>
      </c>
      <c r="I4" s="5" t="s">
        <v>49</v>
      </c>
      <c r="J4" s="6" t="s">
        <v>50</v>
      </c>
      <c r="K4" s="6" t="s">
        <v>51</v>
      </c>
      <c r="L4" s="7" t="s">
        <v>52</v>
      </c>
      <c r="M4" s="6" t="s">
        <v>2</v>
      </c>
      <c r="N4" s="6" t="s">
        <v>3</v>
      </c>
      <c r="O4" s="7" t="s">
        <v>4</v>
      </c>
      <c r="P4" s="8"/>
      <c r="Q4" s="9" t="s">
        <v>5</v>
      </c>
    </row>
    <row r="5" spans="2:17" ht="16.149999999999999" thickBot="1" x14ac:dyDescent="0.55000000000000004">
      <c r="B5" s="11" t="s">
        <v>6</v>
      </c>
      <c r="C5" s="12"/>
      <c r="D5" s="12"/>
      <c r="E5" s="12"/>
      <c r="F5" s="12"/>
      <c r="G5" s="12"/>
      <c r="H5" s="12"/>
      <c r="I5" s="12"/>
      <c r="J5" s="12"/>
      <c r="K5" s="12"/>
      <c r="L5" s="13"/>
      <c r="M5" s="12"/>
      <c r="N5" s="12"/>
      <c r="O5" s="13"/>
      <c r="P5" s="14"/>
      <c r="Q5" s="15"/>
    </row>
    <row r="6" spans="2:17" x14ac:dyDescent="0.45">
      <c r="B6" s="16" t="s">
        <v>7</v>
      </c>
      <c r="C6" s="17">
        <v>10503.67</v>
      </c>
      <c r="D6" s="17"/>
      <c r="E6" s="18"/>
      <c r="F6" s="17"/>
      <c r="G6" s="17"/>
      <c r="H6" s="18"/>
      <c r="I6" s="17"/>
      <c r="J6" s="17"/>
      <c r="K6" s="17"/>
      <c r="L6" s="18"/>
      <c r="M6" s="17"/>
      <c r="N6" s="17"/>
      <c r="O6" s="18"/>
      <c r="P6" s="19"/>
      <c r="Q6" s="20">
        <f>SUM(C6:O6)</f>
        <v>10503.67</v>
      </c>
    </row>
    <row r="7" spans="2:17" x14ac:dyDescent="0.45">
      <c r="B7" s="21" t="s">
        <v>8</v>
      </c>
      <c r="C7" s="22"/>
      <c r="D7" s="22"/>
      <c r="E7" s="23"/>
      <c r="F7" s="22"/>
      <c r="G7" s="22"/>
      <c r="H7" s="23"/>
      <c r="I7" s="22"/>
      <c r="J7" s="22"/>
      <c r="K7" s="22"/>
      <c r="L7" s="23"/>
      <c r="M7" s="22"/>
      <c r="N7" s="22"/>
      <c r="O7" s="23"/>
      <c r="P7" s="19"/>
      <c r="Q7" s="24">
        <f>SUM(C7:O7)</f>
        <v>0</v>
      </c>
    </row>
    <row r="8" spans="2:17" x14ac:dyDescent="0.45">
      <c r="B8" s="21" t="s">
        <v>9</v>
      </c>
      <c r="C8" s="22"/>
      <c r="D8" s="22">
        <v>50000</v>
      </c>
      <c r="E8" s="23"/>
      <c r="F8" s="22"/>
      <c r="G8" s="22"/>
      <c r="H8" s="23"/>
      <c r="I8" s="22"/>
      <c r="J8" s="22"/>
      <c r="K8" s="22"/>
      <c r="L8" s="23"/>
      <c r="M8" s="22"/>
      <c r="N8" s="22"/>
      <c r="O8" s="23"/>
      <c r="P8" s="19"/>
      <c r="Q8" s="24">
        <f>SUM(C8:O8)</f>
        <v>50000</v>
      </c>
    </row>
    <row r="9" spans="2:17" ht="15" customHeight="1" x14ac:dyDescent="0.45">
      <c r="B9" s="25" t="s">
        <v>10</v>
      </c>
      <c r="C9" s="26"/>
      <c r="D9" s="26"/>
      <c r="E9" s="27"/>
      <c r="F9" s="26"/>
      <c r="G9" s="26"/>
      <c r="H9" s="27"/>
      <c r="I9" s="26"/>
      <c r="J9" s="26"/>
      <c r="K9" s="26"/>
      <c r="L9" s="27"/>
      <c r="M9" s="26"/>
      <c r="N9" s="26"/>
      <c r="O9" s="27"/>
      <c r="P9" s="19"/>
      <c r="Q9" s="28">
        <f>SUM(C9:O9)</f>
        <v>0</v>
      </c>
    </row>
    <row r="10" spans="2:17" ht="1.5" customHeight="1" x14ac:dyDescent="0.45">
      <c r="B10" s="29"/>
      <c r="C10" s="30"/>
      <c r="D10" s="30"/>
      <c r="E10" s="31"/>
      <c r="F10" s="30"/>
      <c r="G10" s="30"/>
      <c r="H10" s="31"/>
      <c r="I10" s="30"/>
      <c r="J10" s="30"/>
      <c r="K10" s="30"/>
      <c r="L10" s="31"/>
      <c r="M10" s="30"/>
      <c r="N10" s="30"/>
      <c r="O10" s="31"/>
      <c r="P10" s="19"/>
      <c r="Q10" s="32"/>
    </row>
    <row r="11" spans="2:17" x14ac:dyDescent="0.45">
      <c r="B11" s="16" t="s">
        <v>11</v>
      </c>
      <c r="C11" s="17"/>
      <c r="D11" s="17">
        <f>4345.2+3744+12642+14520+12672+13728+11760+13680+2160+10800+11832+8268+11040+8052</f>
        <v>139243.20000000001</v>
      </c>
      <c r="E11" s="73">
        <f>11760+15840+15048+13728+15552+6960+10944+12642+9900+11880+13464+14784+32238+40800</f>
        <v>225540</v>
      </c>
      <c r="F11" s="75"/>
      <c r="G11" s="17"/>
      <c r="H11" s="18"/>
      <c r="I11" s="17"/>
      <c r="J11" s="17"/>
      <c r="K11" s="17"/>
      <c r="L11" s="18"/>
      <c r="M11" s="17"/>
      <c r="N11" s="17"/>
      <c r="O11" s="18"/>
      <c r="P11" s="19"/>
      <c r="Q11" s="20">
        <f>SUM(C11:O11)</f>
        <v>364783.2</v>
      </c>
    </row>
    <row r="12" spans="2:17" x14ac:dyDescent="0.45">
      <c r="B12" s="16" t="s">
        <v>12</v>
      </c>
      <c r="C12" s="17"/>
      <c r="D12" s="17"/>
      <c r="E12" s="18"/>
      <c r="F12" s="17"/>
      <c r="G12" s="17"/>
      <c r="H12" s="18"/>
      <c r="I12" s="17"/>
      <c r="J12" s="17"/>
      <c r="K12" s="17"/>
      <c r="L12" s="18"/>
      <c r="M12" s="17"/>
      <c r="N12" s="17"/>
      <c r="O12" s="18"/>
      <c r="P12" s="19"/>
      <c r="Q12" s="20">
        <f>SUM(C12:O12)</f>
        <v>0</v>
      </c>
    </row>
    <row r="13" spans="2:17" ht="14.65" thickBot="1" x14ac:dyDescent="0.5">
      <c r="B13" s="21" t="s">
        <v>13</v>
      </c>
      <c r="C13" s="22"/>
      <c r="D13" s="22"/>
      <c r="E13" s="23"/>
      <c r="F13" s="22"/>
      <c r="G13" s="22"/>
      <c r="H13" s="23"/>
      <c r="I13" s="22"/>
      <c r="J13" s="22"/>
      <c r="K13" s="22"/>
      <c r="L13" s="23"/>
      <c r="M13" s="22"/>
      <c r="N13" s="22"/>
      <c r="O13" s="23"/>
      <c r="P13" s="19"/>
      <c r="Q13" s="24">
        <f>SUM(C13:O13)</f>
        <v>0</v>
      </c>
    </row>
    <row r="14" spans="2:17" s="10" customFormat="1" ht="16.149999999999999" thickBot="1" x14ac:dyDescent="0.5">
      <c r="B14" s="33" t="s">
        <v>14</v>
      </c>
      <c r="C14" s="34">
        <f>SUM(C6:C13)</f>
        <v>10503.67</v>
      </c>
      <c r="D14" s="34">
        <f t="shared" ref="D14:O14" si="1">SUM(D6:D13)</f>
        <v>189243.2</v>
      </c>
      <c r="E14" s="34">
        <f t="shared" si="1"/>
        <v>225540</v>
      </c>
      <c r="F14" s="34">
        <f t="shared" si="1"/>
        <v>0</v>
      </c>
      <c r="G14" s="34">
        <f t="shared" si="1"/>
        <v>0</v>
      </c>
      <c r="H14" s="34">
        <f t="shared" si="1"/>
        <v>0</v>
      </c>
      <c r="I14" s="34">
        <f t="shared" si="1"/>
        <v>0</v>
      </c>
      <c r="J14" s="34">
        <f t="shared" si="1"/>
        <v>0</v>
      </c>
      <c r="K14" s="34">
        <f t="shared" si="1"/>
        <v>0</v>
      </c>
      <c r="L14" s="34">
        <f t="shared" si="1"/>
        <v>0</v>
      </c>
      <c r="M14" s="34">
        <f t="shared" si="1"/>
        <v>0</v>
      </c>
      <c r="N14" s="34">
        <f t="shared" si="1"/>
        <v>0</v>
      </c>
      <c r="O14" s="34">
        <f t="shared" si="1"/>
        <v>0</v>
      </c>
      <c r="P14" s="35"/>
      <c r="Q14" s="36">
        <f>SUM(C14:O14)</f>
        <v>425286.87</v>
      </c>
    </row>
    <row r="15" spans="2:17" ht="14.65" thickBot="1" x14ac:dyDescent="0.5"/>
    <row r="16" spans="2:17" ht="16.149999999999999" thickBot="1" x14ac:dyDescent="0.55000000000000004">
      <c r="B16" s="37" t="s">
        <v>15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62"/>
    </row>
    <row r="17" spans="2:17" x14ac:dyDescent="0.45">
      <c r="B17" s="39" t="s">
        <v>16</v>
      </c>
      <c r="C17" s="43"/>
      <c r="D17" s="43">
        <v>35.33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0"/>
      <c r="Q17" s="41">
        <f t="shared" ref="Q17:Q44" si="2">+SUM(C17:O17)</f>
        <v>35.33</v>
      </c>
    </row>
    <row r="18" spans="2:17" x14ac:dyDescent="0.45">
      <c r="B18" s="42" t="s">
        <v>17</v>
      </c>
      <c r="C18" s="43"/>
      <c r="D18" s="43">
        <v>38.54</v>
      </c>
      <c r="E18" s="43">
        <v>38.54</v>
      </c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0"/>
      <c r="Q18" s="41">
        <f t="shared" si="2"/>
        <v>77.08</v>
      </c>
    </row>
    <row r="19" spans="2:17" x14ac:dyDescent="0.45">
      <c r="B19" s="42" t="s">
        <v>18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0"/>
      <c r="Q19" s="41">
        <f t="shared" si="2"/>
        <v>0</v>
      </c>
    </row>
    <row r="20" spans="2:17" x14ac:dyDescent="0.45">
      <c r="B20" s="42" t="s">
        <v>19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0"/>
      <c r="Q20" s="41">
        <f t="shared" si="2"/>
        <v>0</v>
      </c>
    </row>
    <row r="21" spans="2:17" x14ac:dyDescent="0.45">
      <c r="B21" s="42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0"/>
      <c r="Q21" s="41">
        <f t="shared" si="2"/>
        <v>0</v>
      </c>
    </row>
    <row r="22" spans="2:17" x14ac:dyDescent="0.45">
      <c r="B22" s="42" t="s">
        <v>21</v>
      </c>
      <c r="C22" s="43"/>
      <c r="D22" s="43">
        <v>108</v>
      </c>
      <c r="E22" s="43">
        <v>216</v>
      </c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0"/>
      <c r="Q22" s="41">
        <f t="shared" si="2"/>
        <v>324</v>
      </c>
    </row>
    <row r="23" spans="2:17" x14ac:dyDescent="0.45"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7"/>
      <c r="P23" s="40"/>
      <c r="Q23" s="41">
        <f t="shared" si="2"/>
        <v>0</v>
      </c>
    </row>
    <row r="24" spans="2:17" x14ac:dyDescent="0.45">
      <c r="B24" s="44" t="s">
        <v>22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0"/>
      <c r="Q24" s="41">
        <f t="shared" si="2"/>
        <v>0</v>
      </c>
    </row>
    <row r="25" spans="2:17" x14ac:dyDescent="0.45">
      <c r="B25" s="45" t="s">
        <v>23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0"/>
      <c r="Q25" s="41">
        <f t="shared" si="2"/>
        <v>0</v>
      </c>
    </row>
    <row r="26" spans="2:17" x14ac:dyDescent="0.45">
      <c r="B26" s="45" t="s">
        <v>24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0"/>
      <c r="Q26" s="41">
        <f t="shared" si="2"/>
        <v>0</v>
      </c>
    </row>
    <row r="27" spans="2:17" ht="15" customHeight="1" x14ac:dyDescent="0.45">
      <c r="B27" s="45" t="s">
        <v>25</v>
      </c>
      <c r="C27" s="43"/>
      <c r="D27" s="43">
        <f>43.06+104.3+11.7+1.2+38.7+10.95+43.06</f>
        <v>252.96999999999997</v>
      </c>
      <c r="E27" s="43">
        <f>50.5+173+62+26.3+40.7+43+1.2+243+12.05</f>
        <v>651.75</v>
      </c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0"/>
      <c r="Q27" s="41">
        <f t="shared" si="2"/>
        <v>904.72</v>
      </c>
    </row>
    <row r="28" spans="2:17" ht="15" customHeight="1" x14ac:dyDescent="0.45">
      <c r="B28" s="21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0"/>
      <c r="Q28" s="41">
        <f t="shared" si="2"/>
        <v>0</v>
      </c>
    </row>
    <row r="29" spans="2:17" x14ac:dyDescent="0.45">
      <c r="B29" s="46" t="s">
        <v>26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0"/>
      <c r="Q29" s="41">
        <f t="shared" si="2"/>
        <v>0</v>
      </c>
    </row>
    <row r="30" spans="2:17" x14ac:dyDescent="0.45">
      <c r="B30" s="46" t="s">
        <v>27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0"/>
      <c r="Q30" s="41">
        <f t="shared" si="2"/>
        <v>0</v>
      </c>
    </row>
    <row r="31" spans="2:17" x14ac:dyDescent="0.45">
      <c r="B31" s="46" t="s">
        <v>28</v>
      </c>
      <c r="C31" s="43"/>
      <c r="D31" s="43"/>
      <c r="E31" s="43">
        <f>3900+6600</f>
        <v>10500</v>
      </c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0"/>
      <c r="Q31" s="41">
        <f t="shared" si="2"/>
        <v>10500</v>
      </c>
    </row>
    <row r="32" spans="2:17" x14ac:dyDescent="0.45">
      <c r="B32" s="21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0"/>
      <c r="Q32" s="41">
        <f t="shared" si="2"/>
        <v>0</v>
      </c>
    </row>
    <row r="33" spans="2:17" x14ac:dyDescent="0.45">
      <c r="B33" s="47" t="s">
        <v>29</v>
      </c>
      <c r="C33" s="43"/>
      <c r="D33" s="43">
        <f>5393.45+6963.42+3603.05+3845.76+4748.71+4800.83+4588.27+2682.2+4198.99+5330.69+4953.25+4540.36+5793.2+5737.17+5210.66+4871.86+5603.31+5622.89+5371.28+4740.09+4975.84+5889.62+4938.15+6612.4+4856.96</f>
        <v>125872.40999999999</v>
      </c>
      <c r="E33" s="68">
        <v>146000</v>
      </c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0"/>
      <c r="Q33" s="41">
        <f t="shared" si="2"/>
        <v>271872.40999999997</v>
      </c>
    </row>
    <row r="34" spans="2:17" x14ac:dyDescent="0.45">
      <c r="B34" s="48" t="s">
        <v>30</v>
      </c>
      <c r="C34" s="43"/>
      <c r="D34" s="43"/>
      <c r="E34" s="43">
        <f>474.88+480.49+592.03+171.86+398.2+981.2+534.82+358.4+457.84+771.66+193.56</f>
        <v>5414.9400000000005</v>
      </c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0"/>
      <c r="Q34" s="41">
        <f t="shared" si="2"/>
        <v>5414.9400000000005</v>
      </c>
    </row>
    <row r="35" spans="2:17" x14ac:dyDescent="0.45">
      <c r="B35" s="48" t="s">
        <v>31</v>
      </c>
      <c r="C35" s="43"/>
      <c r="D35" s="43"/>
      <c r="E35" s="43">
        <v>6000</v>
      </c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0"/>
      <c r="Q35" s="41">
        <f t="shared" si="2"/>
        <v>6000</v>
      </c>
    </row>
    <row r="36" spans="2:17" x14ac:dyDescent="0.45">
      <c r="B36" s="48" t="s">
        <v>32</v>
      </c>
      <c r="C36" s="43"/>
      <c r="D36" s="43">
        <f>781.25+253.06+1528+1199.99+39.98+1479+25</f>
        <v>5306.2800000000007</v>
      </c>
      <c r="E36" s="43">
        <f>1609+1609</f>
        <v>3218</v>
      </c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0"/>
      <c r="Q36" s="41">
        <f t="shared" si="2"/>
        <v>8524.2800000000007</v>
      </c>
    </row>
    <row r="37" spans="2:17" x14ac:dyDescent="0.45">
      <c r="B37" s="48" t="s">
        <v>33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0"/>
      <c r="Q37" s="41">
        <f t="shared" si="2"/>
        <v>0</v>
      </c>
    </row>
    <row r="38" spans="2:17" x14ac:dyDescent="0.45">
      <c r="B38" s="48" t="s">
        <v>34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0"/>
      <c r="Q38" s="41">
        <f t="shared" si="2"/>
        <v>0</v>
      </c>
    </row>
    <row r="39" spans="2:17" x14ac:dyDescent="0.45">
      <c r="B39" s="49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0"/>
      <c r="Q39" s="41">
        <f t="shared" si="2"/>
        <v>0</v>
      </c>
    </row>
    <row r="40" spans="2:17" x14ac:dyDescent="0.45">
      <c r="B40" s="50" t="s">
        <v>35</v>
      </c>
      <c r="C40" s="43"/>
      <c r="D40" s="43">
        <v>28761</v>
      </c>
      <c r="E40" s="72">
        <v>54110</v>
      </c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0"/>
      <c r="Q40" s="41">
        <f t="shared" si="2"/>
        <v>82871</v>
      </c>
    </row>
    <row r="41" spans="2:17" x14ac:dyDescent="0.45">
      <c r="B41" s="51" t="s">
        <v>36</v>
      </c>
      <c r="C41" s="43"/>
      <c r="D41" s="43">
        <f>1277.47+6157.76+11138.54</f>
        <v>18573.77</v>
      </c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0"/>
      <c r="Q41" s="41">
        <f t="shared" si="2"/>
        <v>18573.77</v>
      </c>
    </row>
    <row r="42" spans="2:17" x14ac:dyDescent="0.45">
      <c r="B42" s="51" t="s">
        <v>37</v>
      </c>
      <c r="C42" s="43"/>
      <c r="D42" s="43"/>
      <c r="E42" s="43">
        <v>1568.6</v>
      </c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0"/>
      <c r="Q42" s="41">
        <f t="shared" si="2"/>
        <v>1568.6</v>
      </c>
    </row>
    <row r="43" spans="2:17" x14ac:dyDescent="0.45">
      <c r="B43" s="51" t="s">
        <v>38</v>
      </c>
      <c r="C43" s="43"/>
      <c r="D43" s="43">
        <v>1597.65</v>
      </c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0"/>
      <c r="Q43" s="41">
        <f t="shared" si="2"/>
        <v>1597.65</v>
      </c>
    </row>
    <row r="44" spans="2:17" ht="14.65" thickBot="1" x14ac:dyDescent="0.5">
      <c r="B44" s="51" t="s">
        <v>39</v>
      </c>
      <c r="C44" s="43"/>
      <c r="D44" s="43">
        <v>4576</v>
      </c>
      <c r="E44" s="43">
        <v>8270</v>
      </c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0"/>
      <c r="Q44" s="41">
        <f t="shared" si="2"/>
        <v>12846</v>
      </c>
    </row>
    <row r="45" spans="2:17" ht="16.149999999999999" thickBot="1" x14ac:dyDescent="0.55000000000000004">
      <c r="B45" s="52" t="s">
        <v>40</v>
      </c>
      <c r="C45" s="53">
        <f>+SUM(C17:C44)</f>
        <v>0</v>
      </c>
      <c r="D45" s="53">
        <f t="shared" ref="D45:O45" si="3">+SUM(D17:D44)</f>
        <v>185121.94999999998</v>
      </c>
      <c r="E45" s="53">
        <f t="shared" si="3"/>
        <v>235987.83000000002</v>
      </c>
      <c r="F45" s="53">
        <f t="shared" si="3"/>
        <v>0</v>
      </c>
      <c r="G45" s="53">
        <f t="shared" si="3"/>
        <v>0</v>
      </c>
      <c r="H45" s="53">
        <f t="shared" si="3"/>
        <v>0</v>
      </c>
      <c r="I45" s="53">
        <f t="shared" si="3"/>
        <v>0</v>
      </c>
      <c r="J45" s="53">
        <f t="shared" si="3"/>
        <v>0</v>
      </c>
      <c r="K45" s="53">
        <f t="shared" si="3"/>
        <v>0</v>
      </c>
      <c r="L45" s="53">
        <f t="shared" si="3"/>
        <v>0</v>
      </c>
      <c r="M45" s="53">
        <f t="shared" si="3"/>
        <v>0</v>
      </c>
      <c r="N45" s="53">
        <f t="shared" si="3"/>
        <v>0</v>
      </c>
      <c r="O45" s="53">
        <f t="shared" si="3"/>
        <v>0</v>
      </c>
      <c r="P45" s="54"/>
      <c r="Q45" s="55">
        <f>+SUM(C45:O45)</f>
        <v>421109.78</v>
      </c>
    </row>
    <row r="46" spans="2:17" ht="14.65" thickBot="1" x14ac:dyDescent="0.5">
      <c r="B46" s="56"/>
      <c r="C46" s="57"/>
      <c r="D46" s="57"/>
      <c r="E46" s="57"/>
      <c r="F46" s="57"/>
      <c r="G46" s="57"/>
      <c r="H46" s="57"/>
      <c r="I46" s="57"/>
      <c r="J46" s="57"/>
      <c r="K46" s="57"/>
      <c r="M46" s="57"/>
      <c r="N46" s="57"/>
      <c r="P46" s="40"/>
    </row>
    <row r="47" spans="2:17" ht="15.75" x14ac:dyDescent="0.5">
      <c r="B47" s="63" t="s">
        <v>41</v>
      </c>
      <c r="C47" s="58">
        <f>C14-C45</f>
        <v>10503.67</v>
      </c>
      <c r="D47" s="58">
        <f t="shared" ref="D47:O47" si="4">D14-D45</f>
        <v>4121.2500000000291</v>
      </c>
      <c r="E47" s="58">
        <f t="shared" si="4"/>
        <v>-10447.830000000016</v>
      </c>
      <c r="F47" s="58">
        <f t="shared" si="4"/>
        <v>0</v>
      </c>
      <c r="G47" s="58">
        <f t="shared" si="4"/>
        <v>0</v>
      </c>
      <c r="H47" s="58">
        <f t="shared" si="4"/>
        <v>0</v>
      </c>
      <c r="I47" s="58">
        <f t="shared" si="4"/>
        <v>0</v>
      </c>
      <c r="J47" s="58">
        <f t="shared" si="4"/>
        <v>0</v>
      </c>
      <c r="K47" s="58">
        <f t="shared" si="4"/>
        <v>0</v>
      </c>
      <c r="L47" s="58">
        <f t="shared" si="4"/>
        <v>0</v>
      </c>
      <c r="M47" s="58">
        <f t="shared" si="4"/>
        <v>0</v>
      </c>
      <c r="N47" s="58">
        <f t="shared" si="4"/>
        <v>0</v>
      </c>
      <c r="O47" s="58">
        <f t="shared" si="4"/>
        <v>0</v>
      </c>
      <c r="P47" s="59"/>
      <c r="Q47" s="60">
        <f>Q14-Q45</f>
        <v>4177.0899999999674</v>
      </c>
    </row>
    <row r="48" spans="2:17" ht="16.149999999999999" thickBot="1" x14ac:dyDescent="0.55000000000000004">
      <c r="B48" s="64" t="s">
        <v>42</v>
      </c>
      <c r="C48" s="58">
        <f>C47</f>
        <v>10503.67</v>
      </c>
      <c r="D48" s="58">
        <f>C48+D47</f>
        <v>14624.920000000029</v>
      </c>
      <c r="E48" s="58">
        <f t="shared" ref="E48:O48" si="5">D48+E47</f>
        <v>4177.0900000000129</v>
      </c>
      <c r="F48" s="58">
        <f t="shared" si="5"/>
        <v>4177.0900000000129</v>
      </c>
      <c r="G48" s="58">
        <f t="shared" si="5"/>
        <v>4177.0900000000129</v>
      </c>
      <c r="H48" s="58">
        <f t="shared" si="5"/>
        <v>4177.0900000000129</v>
      </c>
      <c r="I48" s="58">
        <f t="shared" si="5"/>
        <v>4177.0900000000129</v>
      </c>
      <c r="J48" s="58">
        <f t="shared" si="5"/>
        <v>4177.0900000000129</v>
      </c>
      <c r="K48" s="58">
        <f t="shared" si="5"/>
        <v>4177.0900000000129</v>
      </c>
      <c r="L48" s="58">
        <f t="shared" si="5"/>
        <v>4177.0900000000129</v>
      </c>
      <c r="M48" s="58">
        <f t="shared" si="5"/>
        <v>4177.0900000000129</v>
      </c>
      <c r="N48" s="58">
        <f t="shared" si="5"/>
        <v>4177.0900000000129</v>
      </c>
      <c r="O48" s="58">
        <f t="shared" si="5"/>
        <v>4177.0900000000129</v>
      </c>
      <c r="P48" s="59"/>
      <c r="Q48" s="60"/>
    </row>
  </sheetData>
  <mergeCells count="1">
    <mergeCell ref="B2:C3"/>
  </mergeCells>
  <conditionalFormatting sqref="C47:Q48">
    <cfRule type="cellIs" dxfId="39" priority="1" operator="lessThan">
      <formula>0</formula>
    </cfRule>
    <cfRule type="cellIs" dxfId="38" priority="2" operator="greaterThan">
      <formula>0</formula>
    </cfRule>
  </conditionalFormatting>
  <conditionalFormatting sqref="Q45">
    <cfRule type="cellIs" dxfId="37" priority="3" operator="greaterThan">
      <formula>0</formula>
    </cfRule>
    <cfRule type="cellIs" dxfId="36" priority="4" operator="lessThan">
      <formula>0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D339D-0235-4410-9FF9-6291E5F60A06}">
  <dimension ref="B1:Q48"/>
  <sheetViews>
    <sheetView topLeftCell="A16" workbookViewId="0">
      <selection activeCell="F22" sqref="F22"/>
    </sheetView>
  </sheetViews>
  <sheetFormatPr baseColWidth="10" defaultColWidth="9.1328125" defaultRowHeight="14.25" x14ac:dyDescent="0.45"/>
  <cols>
    <col min="1" max="1" width="4.1328125" style="3" customWidth="1"/>
    <col min="2" max="2" width="37.1328125" style="3" bestFit="1" customWidth="1"/>
    <col min="3" max="3" width="16.53125" style="2" customWidth="1"/>
    <col min="4" max="4" width="16.46484375" style="2" customWidth="1"/>
    <col min="5" max="9" width="16.53125" style="2" customWidth="1"/>
    <col min="10" max="15" width="15.19921875" style="2" bestFit="1" customWidth="1"/>
    <col min="16" max="16" width="0.33203125" customWidth="1"/>
    <col min="17" max="17" width="15.46484375" style="2" bestFit="1" customWidth="1"/>
    <col min="18" max="16384" width="9.1328125" style="3"/>
  </cols>
  <sheetData>
    <row r="1" spans="2:17" x14ac:dyDescent="0.45">
      <c r="B1" s="71" t="s">
        <v>54</v>
      </c>
      <c r="D1" s="76"/>
    </row>
    <row r="2" spans="2:17" ht="18" x14ac:dyDescent="0.45">
      <c r="B2" s="79" t="s">
        <v>43</v>
      </c>
      <c r="C2" s="79"/>
      <c r="D2" s="1">
        <f t="shared" ref="D2:O2" si="0">+D48</f>
        <v>14624.920000000029</v>
      </c>
      <c r="E2" s="1">
        <f t="shared" si="0"/>
        <v>53579.490000000005</v>
      </c>
      <c r="F2" s="1">
        <f t="shared" si="0"/>
        <v>217005.61</v>
      </c>
      <c r="G2" s="1">
        <f t="shared" si="0"/>
        <v>217005.61</v>
      </c>
      <c r="H2" s="1">
        <f t="shared" si="0"/>
        <v>217005.61</v>
      </c>
      <c r="I2" s="1">
        <f t="shared" si="0"/>
        <v>217005.61</v>
      </c>
      <c r="J2" s="1">
        <f t="shared" si="0"/>
        <v>217005.61</v>
      </c>
      <c r="K2" s="1">
        <f t="shared" si="0"/>
        <v>217005.61</v>
      </c>
      <c r="L2" s="1">
        <f t="shared" si="0"/>
        <v>217005.61</v>
      </c>
      <c r="M2" s="1">
        <f t="shared" si="0"/>
        <v>217005.61</v>
      </c>
      <c r="N2" s="1">
        <f t="shared" si="0"/>
        <v>217005.61</v>
      </c>
      <c r="O2" s="1">
        <f t="shared" si="0"/>
        <v>217005.61</v>
      </c>
      <c r="P2" s="2">
        <f>P48</f>
        <v>0</v>
      </c>
    </row>
    <row r="3" spans="2:17" ht="28.9" thickBot="1" x14ac:dyDescent="0.5">
      <c r="B3" s="80"/>
      <c r="C3" s="80"/>
      <c r="D3" s="61"/>
      <c r="E3" s="61"/>
      <c r="F3" s="61"/>
      <c r="G3" s="61"/>
      <c r="H3" s="61"/>
      <c r="I3" s="61"/>
    </row>
    <row r="4" spans="2:17" s="10" customFormat="1" ht="16.149999999999999" thickBot="1" x14ac:dyDescent="0.5">
      <c r="B4" s="4" t="s">
        <v>0</v>
      </c>
      <c r="C4" s="5" t="s">
        <v>1</v>
      </c>
      <c r="D4" s="5" t="s">
        <v>44</v>
      </c>
      <c r="E4" s="5" t="s">
        <v>45</v>
      </c>
      <c r="F4" s="5" t="s">
        <v>46</v>
      </c>
      <c r="G4" s="5" t="s">
        <v>47</v>
      </c>
      <c r="H4" s="5" t="s">
        <v>48</v>
      </c>
      <c r="I4" s="5" t="s">
        <v>49</v>
      </c>
      <c r="J4" s="6" t="s">
        <v>50</v>
      </c>
      <c r="K4" s="6" t="s">
        <v>51</v>
      </c>
      <c r="L4" s="7" t="s">
        <v>52</v>
      </c>
      <c r="M4" s="6" t="s">
        <v>2</v>
      </c>
      <c r="N4" s="6" t="s">
        <v>3</v>
      </c>
      <c r="O4" s="7" t="s">
        <v>4</v>
      </c>
      <c r="P4" s="8"/>
      <c r="Q4" s="9" t="s">
        <v>5</v>
      </c>
    </row>
    <row r="5" spans="2:17" ht="16.149999999999999" thickBot="1" x14ac:dyDescent="0.55000000000000004">
      <c r="B5" s="11" t="s">
        <v>6</v>
      </c>
      <c r="C5" s="12"/>
      <c r="D5" s="12"/>
      <c r="E5" s="12"/>
      <c r="F5" s="12"/>
      <c r="G5" s="12"/>
      <c r="H5" s="12"/>
      <c r="I5" s="12"/>
      <c r="J5" s="12"/>
      <c r="K5" s="12"/>
      <c r="L5" s="13"/>
      <c r="M5" s="12"/>
      <c r="N5" s="12"/>
      <c r="O5" s="13"/>
      <c r="P5" s="14"/>
      <c r="Q5" s="15"/>
    </row>
    <row r="6" spans="2:17" x14ac:dyDescent="0.45">
      <c r="B6" s="16" t="s">
        <v>7</v>
      </c>
      <c r="C6" s="17">
        <v>10503.67</v>
      </c>
      <c r="D6" s="17"/>
      <c r="E6" s="18"/>
      <c r="F6" s="17"/>
      <c r="G6" s="17"/>
      <c r="H6" s="18"/>
      <c r="I6" s="17"/>
      <c r="J6" s="17"/>
      <c r="K6" s="17"/>
      <c r="L6" s="18"/>
      <c r="M6" s="17"/>
      <c r="N6" s="17"/>
      <c r="O6" s="18"/>
      <c r="P6" s="19"/>
      <c r="Q6" s="20">
        <f>SUM(C6:O6)</f>
        <v>10503.67</v>
      </c>
    </row>
    <row r="7" spans="2:17" x14ac:dyDescent="0.45">
      <c r="B7" s="21" t="s">
        <v>8</v>
      </c>
      <c r="C7" s="22"/>
      <c r="D7" s="22"/>
      <c r="E7" s="23"/>
      <c r="F7" s="22"/>
      <c r="G7" s="22"/>
      <c r="H7" s="23"/>
      <c r="I7" s="22"/>
      <c r="J7" s="22"/>
      <c r="K7" s="22"/>
      <c r="L7" s="23"/>
      <c r="M7" s="22"/>
      <c r="N7" s="22"/>
      <c r="O7" s="23"/>
      <c r="P7" s="19"/>
      <c r="Q7" s="24">
        <f>SUM(C7:O7)</f>
        <v>0</v>
      </c>
    </row>
    <row r="8" spans="2:17" x14ac:dyDescent="0.45">
      <c r="B8" s="21" t="s">
        <v>9</v>
      </c>
      <c r="C8" s="22"/>
      <c r="D8" s="22">
        <v>50000</v>
      </c>
      <c r="E8" s="23">
        <v>50000</v>
      </c>
      <c r="F8" s="22"/>
      <c r="G8" s="22"/>
      <c r="H8" s="23"/>
      <c r="I8" s="22"/>
      <c r="J8" s="22"/>
      <c r="K8" s="22"/>
      <c r="L8" s="23"/>
      <c r="M8" s="22"/>
      <c r="N8" s="22"/>
      <c r="O8" s="23"/>
      <c r="P8" s="19"/>
      <c r="Q8" s="24">
        <f>SUM(C8:O8)</f>
        <v>100000</v>
      </c>
    </row>
    <row r="9" spans="2:17" ht="15" customHeight="1" x14ac:dyDescent="0.45">
      <c r="B9" s="25" t="s">
        <v>10</v>
      </c>
      <c r="C9" s="26"/>
      <c r="D9" s="26"/>
      <c r="E9" s="27"/>
      <c r="F9" s="26"/>
      <c r="G9" s="26"/>
      <c r="H9" s="27"/>
      <c r="I9" s="26"/>
      <c r="J9" s="26"/>
      <c r="K9" s="26"/>
      <c r="L9" s="27"/>
      <c r="M9" s="26"/>
      <c r="N9" s="26"/>
      <c r="O9" s="27"/>
      <c r="P9" s="19"/>
      <c r="Q9" s="28">
        <f>SUM(C9:O9)</f>
        <v>0</v>
      </c>
    </row>
    <row r="10" spans="2:17" ht="1.5" customHeight="1" x14ac:dyDescent="0.45">
      <c r="B10" s="29"/>
      <c r="C10" s="30"/>
      <c r="D10" s="30"/>
      <c r="E10" s="31"/>
      <c r="F10" s="30"/>
      <c r="G10" s="30"/>
      <c r="H10" s="31"/>
      <c r="I10" s="30"/>
      <c r="J10" s="30"/>
      <c r="K10" s="30"/>
      <c r="L10" s="31"/>
      <c r="M10" s="30"/>
      <c r="N10" s="30"/>
      <c r="O10" s="31"/>
      <c r="P10" s="19"/>
      <c r="Q10" s="32"/>
    </row>
    <row r="11" spans="2:17" x14ac:dyDescent="0.45">
      <c r="B11" s="16" t="s">
        <v>11</v>
      </c>
      <c r="C11" s="17"/>
      <c r="D11" s="17">
        <f>4345.2+3744+12642+14520+12672+13728+11760+13680+2160+10800+11832+8268+11040+8052</f>
        <v>139243.20000000001</v>
      </c>
      <c r="E11" s="18">
        <f>11760+15840+15048+13728+15552+6960+10944+12642+9900+11880+13464+14784+13200+12480+6600+2100+8052+12720+10716+15840</f>
        <v>234210</v>
      </c>
      <c r="F11" s="74">
        <f>456180.8+10752</f>
        <v>466932.8</v>
      </c>
      <c r="G11" s="17"/>
      <c r="H11" s="18"/>
      <c r="I11" s="17"/>
      <c r="J11" s="17"/>
      <c r="K11" s="17"/>
      <c r="L11" s="18"/>
      <c r="M11" s="17"/>
      <c r="N11" s="17"/>
      <c r="O11" s="18"/>
      <c r="P11" s="19"/>
      <c r="Q11" s="20">
        <f>SUM(C11:O11)</f>
        <v>840386</v>
      </c>
    </row>
    <row r="12" spans="2:17" x14ac:dyDescent="0.45">
      <c r="B12" s="16" t="s">
        <v>12</v>
      </c>
      <c r="C12" s="17"/>
      <c r="D12" s="17"/>
      <c r="E12" s="18"/>
      <c r="F12" s="17"/>
      <c r="G12" s="17"/>
      <c r="H12" s="18"/>
      <c r="I12" s="17"/>
      <c r="J12" s="17"/>
      <c r="K12" s="17"/>
      <c r="L12" s="18"/>
      <c r="M12" s="17"/>
      <c r="N12" s="17"/>
      <c r="O12" s="18"/>
      <c r="P12" s="19"/>
      <c r="Q12" s="20">
        <f>SUM(C12:O12)</f>
        <v>0</v>
      </c>
    </row>
    <row r="13" spans="2:17" ht="14.65" thickBot="1" x14ac:dyDescent="0.5">
      <c r="B13" s="21" t="s">
        <v>13</v>
      </c>
      <c r="C13" s="22"/>
      <c r="D13" s="22"/>
      <c r="E13" s="23"/>
      <c r="F13" s="22"/>
      <c r="G13" s="22"/>
      <c r="H13" s="23"/>
      <c r="I13" s="22"/>
      <c r="J13" s="22"/>
      <c r="K13" s="22"/>
      <c r="L13" s="23"/>
      <c r="M13" s="22"/>
      <c r="N13" s="22"/>
      <c r="O13" s="23"/>
      <c r="P13" s="19"/>
      <c r="Q13" s="24">
        <f>SUM(C13:O13)</f>
        <v>0</v>
      </c>
    </row>
    <row r="14" spans="2:17" s="10" customFormat="1" ht="16.149999999999999" thickBot="1" x14ac:dyDescent="0.5">
      <c r="B14" s="33" t="s">
        <v>14</v>
      </c>
      <c r="C14" s="34">
        <f>SUM(C6:C13)</f>
        <v>10503.67</v>
      </c>
      <c r="D14" s="34">
        <f t="shared" ref="D14:O14" si="1">SUM(D6:D13)</f>
        <v>189243.2</v>
      </c>
      <c r="E14" s="34">
        <f t="shared" si="1"/>
        <v>284210</v>
      </c>
      <c r="F14" s="34">
        <f t="shared" si="1"/>
        <v>466932.8</v>
      </c>
      <c r="G14" s="34">
        <f t="shared" si="1"/>
        <v>0</v>
      </c>
      <c r="H14" s="34">
        <f t="shared" si="1"/>
        <v>0</v>
      </c>
      <c r="I14" s="34">
        <f t="shared" si="1"/>
        <v>0</v>
      </c>
      <c r="J14" s="34">
        <f t="shared" si="1"/>
        <v>0</v>
      </c>
      <c r="K14" s="34">
        <f t="shared" si="1"/>
        <v>0</v>
      </c>
      <c r="L14" s="34">
        <f t="shared" si="1"/>
        <v>0</v>
      </c>
      <c r="M14" s="34">
        <f t="shared" si="1"/>
        <v>0</v>
      </c>
      <c r="N14" s="34">
        <f t="shared" si="1"/>
        <v>0</v>
      </c>
      <c r="O14" s="34">
        <f t="shared" si="1"/>
        <v>0</v>
      </c>
      <c r="P14" s="35"/>
      <c r="Q14" s="36">
        <f>SUM(C14:O14)</f>
        <v>950889.66999999993</v>
      </c>
    </row>
    <row r="15" spans="2:17" ht="14.65" thickBot="1" x14ac:dyDescent="0.5"/>
    <row r="16" spans="2:17" ht="16.149999999999999" thickBot="1" x14ac:dyDescent="0.55000000000000004">
      <c r="B16" s="37" t="s">
        <v>15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62"/>
    </row>
    <row r="17" spans="2:17" x14ac:dyDescent="0.45">
      <c r="B17" s="39" t="s">
        <v>16</v>
      </c>
      <c r="C17" s="43"/>
      <c r="D17" s="43">
        <v>35.33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0"/>
      <c r="Q17" s="41">
        <f t="shared" ref="Q17:Q44" si="2">+SUM(C17:O17)</f>
        <v>35.33</v>
      </c>
    </row>
    <row r="18" spans="2:17" x14ac:dyDescent="0.45">
      <c r="B18" s="42" t="s">
        <v>17</v>
      </c>
      <c r="C18" s="43"/>
      <c r="D18" s="43">
        <v>38.54</v>
      </c>
      <c r="E18" s="43">
        <v>38.54</v>
      </c>
      <c r="F18" s="43">
        <v>38.54</v>
      </c>
      <c r="G18" s="43"/>
      <c r="H18" s="43"/>
      <c r="I18" s="43"/>
      <c r="J18" s="43"/>
      <c r="K18" s="43"/>
      <c r="L18" s="43"/>
      <c r="M18" s="43"/>
      <c r="N18" s="43"/>
      <c r="O18" s="43"/>
      <c r="P18" s="40"/>
      <c r="Q18" s="41">
        <f t="shared" si="2"/>
        <v>115.62</v>
      </c>
    </row>
    <row r="19" spans="2:17" x14ac:dyDescent="0.45">
      <c r="B19" s="42" t="s">
        <v>18</v>
      </c>
      <c r="C19" s="43"/>
      <c r="D19" s="43"/>
      <c r="E19" s="43"/>
      <c r="F19" s="43">
        <v>3402</v>
      </c>
      <c r="G19" s="43"/>
      <c r="H19" s="43"/>
      <c r="I19" s="43"/>
      <c r="J19" s="43"/>
      <c r="K19" s="43"/>
      <c r="L19" s="43"/>
      <c r="M19" s="43"/>
      <c r="N19" s="43"/>
      <c r="O19" s="43"/>
      <c r="P19" s="40"/>
      <c r="Q19" s="41">
        <f t="shared" si="2"/>
        <v>3402</v>
      </c>
    </row>
    <row r="20" spans="2:17" x14ac:dyDescent="0.45">
      <c r="B20" s="42" t="s">
        <v>19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0"/>
      <c r="Q20" s="41">
        <f t="shared" si="2"/>
        <v>0</v>
      </c>
    </row>
    <row r="21" spans="2:17" x14ac:dyDescent="0.45">
      <c r="B21" s="42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0"/>
      <c r="Q21" s="41">
        <f t="shared" si="2"/>
        <v>0</v>
      </c>
    </row>
    <row r="22" spans="2:17" x14ac:dyDescent="0.45">
      <c r="B22" s="42" t="s">
        <v>21</v>
      </c>
      <c r="C22" s="43"/>
      <c r="D22" s="43">
        <v>108</v>
      </c>
      <c r="E22" s="43">
        <v>216</v>
      </c>
      <c r="F22" s="72">
        <v>324</v>
      </c>
      <c r="G22" s="43"/>
      <c r="H22" s="43"/>
      <c r="I22" s="43"/>
      <c r="J22" s="43"/>
      <c r="K22" s="43"/>
      <c r="L22" s="43"/>
      <c r="M22" s="43"/>
      <c r="N22" s="43"/>
      <c r="O22" s="43"/>
      <c r="P22" s="40"/>
      <c r="Q22" s="41">
        <f t="shared" si="2"/>
        <v>648</v>
      </c>
    </row>
    <row r="23" spans="2:17" x14ac:dyDescent="0.45"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7"/>
      <c r="P23" s="40"/>
      <c r="Q23" s="41">
        <f t="shared" si="2"/>
        <v>0</v>
      </c>
    </row>
    <row r="24" spans="2:17" x14ac:dyDescent="0.45">
      <c r="B24" s="44" t="s">
        <v>22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0"/>
      <c r="Q24" s="41">
        <f t="shared" si="2"/>
        <v>0</v>
      </c>
    </row>
    <row r="25" spans="2:17" x14ac:dyDescent="0.45">
      <c r="B25" s="45" t="s">
        <v>23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0"/>
      <c r="Q25" s="41">
        <f t="shared" si="2"/>
        <v>0</v>
      </c>
    </row>
    <row r="26" spans="2:17" x14ac:dyDescent="0.45">
      <c r="B26" s="45" t="s">
        <v>24</v>
      </c>
      <c r="C26" s="43"/>
      <c r="D26" s="43"/>
      <c r="E26" s="43">
        <v>6600</v>
      </c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0"/>
      <c r="Q26" s="41">
        <f t="shared" si="2"/>
        <v>6600</v>
      </c>
    </row>
    <row r="27" spans="2:17" ht="15" customHeight="1" x14ac:dyDescent="0.45">
      <c r="B27" s="45" t="s">
        <v>25</v>
      </c>
      <c r="C27" s="43"/>
      <c r="D27" s="43">
        <f>43.06+104.3+11.7+1.2+38.7+10.95+43.06</f>
        <v>252.96999999999997</v>
      </c>
      <c r="E27" s="43">
        <f>50.5+173+62+26.3+40.7+43+1.2+243+12.05</f>
        <v>651.75</v>
      </c>
      <c r="F27" s="43">
        <f>1.2+439+664+235.5</f>
        <v>1339.7</v>
      </c>
      <c r="G27" s="43"/>
      <c r="H27" s="43"/>
      <c r="I27" s="43"/>
      <c r="J27" s="43"/>
      <c r="K27" s="43"/>
      <c r="L27" s="43"/>
      <c r="M27" s="43"/>
      <c r="N27" s="43"/>
      <c r="O27" s="43"/>
      <c r="P27" s="40"/>
      <c r="Q27" s="41">
        <f t="shared" si="2"/>
        <v>2244.42</v>
      </c>
    </row>
    <row r="28" spans="2:17" ht="15" customHeight="1" x14ac:dyDescent="0.45">
      <c r="B28" s="21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0"/>
      <c r="Q28" s="41">
        <f t="shared" si="2"/>
        <v>0</v>
      </c>
    </row>
    <row r="29" spans="2:17" x14ac:dyDescent="0.45">
      <c r="B29" s="46" t="s">
        <v>26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0"/>
      <c r="Q29" s="41">
        <f t="shared" si="2"/>
        <v>0</v>
      </c>
    </row>
    <row r="30" spans="2:17" x14ac:dyDescent="0.45">
      <c r="B30" s="46" t="s">
        <v>27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0"/>
      <c r="Q30" s="41">
        <f t="shared" si="2"/>
        <v>0</v>
      </c>
    </row>
    <row r="31" spans="2:17" x14ac:dyDescent="0.45">
      <c r="B31" s="46" t="s">
        <v>28</v>
      </c>
      <c r="C31" s="43"/>
      <c r="D31" s="43"/>
      <c r="E31" s="43">
        <f>3900+6600</f>
        <v>10500</v>
      </c>
      <c r="F31" s="43">
        <f>2352+8550+13728+6600+12000</f>
        <v>43230</v>
      </c>
      <c r="G31" s="43"/>
      <c r="H31" s="43"/>
      <c r="I31" s="43"/>
      <c r="J31" s="43"/>
      <c r="K31" s="43"/>
      <c r="L31" s="43"/>
      <c r="M31" s="43"/>
      <c r="N31" s="43"/>
      <c r="O31" s="43"/>
      <c r="P31" s="40"/>
      <c r="Q31" s="41">
        <f t="shared" si="2"/>
        <v>53730</v>
      </c>
    </row>
    <row r="32" spans="2:17" x14ac:dyDescent="0.45">
      <c r="B32" s="21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0"/>
      <c r="Q32" s="41">
        <f t="shared" si="2"/>
        <v>0</v>
      </c>
    </row>
    <row r="33" spans="2:17" x14ac:dyDescent="0.45">
      <c r="B33" s="47" t="s">
        <v>29</v>
      </c>
      <c r="C33" s="43"/>
      <c r="D33" s="43">
        <f>5393.45+6963.42+3603.05+3845.76+4748.71+4800.83+4588.27+2682.2+4198.99+5330.69+4953.25+4540.36+5793.2+5737.17+5210.66+4871.86+5603.31+5622.89+5371.28+4740.09+4975.84+5889.62+4938.15+6612.4+4856.96</f>
        <v>125872.40999999999</v>
      </c>
      <c r="E33" s="43">
        <f>4740.09+4856.96+5889.62+4938.15+4975.84+6612.4+5371.28+3973.24+3724.6+6025.8+4996.03+2281.82+5393.45+3845.76+5055.27+4800.83+5737.17+5622.89+4198.99+4953.25+4544.7+5603.31+5330.69+5793.2+6962.33+5093.08+4841.69+4507.46+262.04+527.68+5217.98</f>
        <v>146677.6</v>
      </c>
      <c r="F33" s="68">
        <v>174138.98</v>
      </c>
      <c r="G33" s="43"/>
      <c r="H33" s="43"/>
      <c r="I33" s="43"/>
      <c r="J33" s="43"/>
      <c r="K33" s="43"/>
      <c r="L33" s="43"/>
      <c r="M33" s="43"/>
      <c r="N33" s="43"/>
      <c r="O33" s="43"/>
      <c r="P33" s="40"/>
      <c r="Q33" s="41">
        <f t="shared" si="2"/>
        <v>446688.99</v>
      </c>
    </row>
    <row r="34" spans="2:17" x14ac:dyDescent="0.45">
      <c r="B34" s="48" t="s">
        <v>30</v>
      </c>
      <c r="C34" s="43"/>
      <c r="D34" s="43"/>
      <c r="E34" s="43">
        <f>474.88+480.49+592.03+171.86+398.2+981.2+534.82+358.4+457.84+771.66+193.56</f>
        <v>5414.9400000000005</v>
      </c>
      <c r="F34" s="68">
        <f>597+440.8+500.52+118.98+248.14+568.6+313+118.98+384+892+301.71+586.2+649.54+358.4+338.56</f>
        <v>6416.43</v>
      </c>
      <c r="G34" s="43"/>
      <c r="H34" s="43"/>
      <c r="I34" s="43"/>
      <c r="J34" s="43"/>
      <c r="K34" s="43"/>
      <c r="L34" s="43"/>
      <c r="M34" s="43"/>
      <c r="N34" s="43"/>
      <c r="O34" s="43"/>
      <c r="P34" s="40"/>
      <c r="Q34" s="41">
        <f t="shared" si="2"/>
        <v>11831.37</v>
      </c>
    </row>
    <row r="35" spans="2:17" x14ac:dyDescent="0.45">
      <c r="B35" s="48" t="s">
        <v>31</v>
      </c>
      <c r="C35" s="43"/>
      <c r="D35" s="43"/>
      <c r="E35" s="43">
        <v>6000</v>
      </c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0"/>
      <c r="Q35" s="41">
        <f t="shared" si="2"/>
        <v>6000</v>
      </c>
    </row>
    <row r="36" spans="2:17" x14ac:dyDescent="0.45">
      <c r="B36" s="48" t="s">
        <v>32</v>
      </c>
      <c r="C36" s="43"/>
      <c r="D36" s="43">
        <f>781.25+253.06+1528+1199.99+39.98+1479+25</f>
        <v>5306.2800000000007</v>
      </c>
      <c r="E36" s="43">
        <f>1609+1609+1990</f>
        <v>5208</v>
      </c>
      <c r="F36" s="43">
        <f>118.8+15+55.2+1179+583.2+31.83</f>
        <v>1983.03</v>
      </c>
      <c r="G36" s="43"/>
      <c r="H36" s="43"/>
      <c r="I36" s="43"/>
      <c r="J36" s="43"/>
      <c r="K36" s="43"/>
      <c r="L36" s="43"/>
      <c r="M36" s="43"/>
      <c r="N36" s="43"/>
      <c r="O36" s="43"/>
      <c r="P36" s="40"/>
      <c r="Q36" s="41">
        <f t="shared" si="2"/>
        <v>12497.310000000001</v>
      </c>
    </row>
    <row r="37" spans="2:17" x14ac:dyDescent="0.45">
      <c r="B37" s="48" t="s">
        <v>33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0"/>
      <c r="Q37" s="41">
        <f t="shared" si="2"/>
        <v>0</v>
      </c>
    </row>
    <row r="38" spans="2:17" x14ac:dyDescent="0.45">
      <c r="B38" s="48" t="s">
        <v>34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0"/>
      <c r="Q38" s="41">
        <f t="shared" si="2"/>
        <v>0</v>
      </c>
    </row>
    <row r="39" spans="2:17" x14ac:dyDescent="0.45">
      <c r="B39" s="49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0"/>
      <c r="Q39" s="41">
        <f t="shared" si="2"/>
        <v>0</v>
      </c>
    </row>
    <row r="40" spans="2:17" x14ac:dyDescent="0.45">
      <c r="B40" s="50" t="s">
        <v>35</v>
      </c>
      <c r="C40" s="43"/>
      <c r="D40" s="43">
        <v>28761</v>
      </c>
      <c r="E40" s="43">
        <v>54110</v>
      </c>
      <c r="F40" s="43">
        <v>63309</v>
      </c>
      <c r="G40" s="43"/>
      <c r="H40" s="43"/>
      <c r="I40" s="43"/>
      <c r="J40" s="43"/>
      <c r="K40" s="43"/>
      <c r="L40" s="43"/>
      <c r="M40" s="43"/>
      <c r="N40" s="43"/>
      <c r="O40" s="43"/>
      <c r="P40" s="40"/>
      <c r="Q40" s="41">
        <f t="shared" si="2"/>
        <v>146180</v>
      </c>
    </row>
    <row r="41" spans="2:17" x14ac:dyDescent="0.45">
      <c r="B41" s="51" t="s">
        <v>36</v>
      </c>
      <c r="C41" s="43"/>
      <c r="D41" s="43">
        <f>1277.47+6157.76+11138.54</f>
        <v>18573.77</v>
      </c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0"/>
      <c r="Q41" s="41">
        <f t="shared" si="2"/>
        <v>18573.77</v>
      </c>
    </row>
    <row r="42" spans="2:17" x14ac:dyDescent="0.45">
      <c r="B42" s="51" t="s">
        <v>37</v>
      </c>
      <c r="C42" s="43"/>
      <c r="D42" s="43"/>
      <c r="E42" s="43">
        <v>1568.6</v>
      </c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0"/>
      <c r="Q42" s="41">
        <f t="shared" si="2"/>
        <v>1568.6</v>
      </c>
    </row>
    <row r="43" spans="2:17" x14ac:dyDescent="0.45">
      <c r="B43" s="51" t="s">
        <v>38</v>
      </c>
      <c r="C43" s="43"/>
      <c r="D43" s="43">
        <v>1597.65</v>
      </c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0"/>
      <c r="Q43" s="41">
        <f t="shared" si="2"/>
        <v>1597.65</v>
      </c>
    </row>
    <row r="44" spans="2:17" ht="14.65" thickBot="1" x14ac:dyDescent="0.5">
      <c r="B44" s="51" t="s">
        <v>39</v>
      </c>
      <c r="C44" s="43"/>
      <c r="D44" s="43">
        <v>4576</v>
      </c>
      <c r="E44" s="43">
        <v>8270</v>
      </c>
      <c r="F44" s="43">
        <v>9325</v>
      </c>
      <c r="G44" s="43"/>
      <c r="H44" s="43"/>
      <c r="I44" s="43"/>
      <c r="J44" s="43"/>
      <c r="K44" s="43"/>
      <c r="L44" s="43"/>
      <c r="M44" s="43"/>
      <c r="N44" s="43"/>
      <c r="O44" s="43"/>
      <c r="P44" s="40"/>
      <c r="Q44" s="41">
        <f t="shared" si="2"/>
        <v>22171</v>
      </c>
    </row>
    <row r="45" spans="2:17" ht="16.149999999999999" thickBot="1" x14ac:dyDescent="0.55000000000000004">
      <c r="B45" s="52" t="s">
        <v>40</v>
      </c>
      <c r="C45" s="53">
        <f>+SUM(C17:C44)</f>
        <v>0</v>
      </c>
      <c r="D45" s="53">
        <f t="shared" ref="D45:O45" si="3">+SUM(D17:D44)</f>
        <v>185121.94999999998</v>
      </c>
      <c r="E45" s="53">
        <f t="shared" si="3"/>
        <v>245255.43000000002</v>
      </c>
      <c r="F45" s="53">
        <f t="shared" si="3"/>
        <v>303506.68</v>
      </c>
      <c r="G45" s="53">
        <f t="shared" si="3"/>
        <v>0</v>
      </c>
      <c r="H45" s="53">
        <f t="shared" si="3"/>
        <v>0</v>
      </c>
      <c r="I45" s="53">
        <f t="shared" si="3"/>
        <v>0</v>
      </c>
      <c r="J45" s="53">
        <f t="shared" si="3"/>
        <v>0</v>
      </c>
      <c r="K45" s="53">
        <f t="shared" si="3"/>
        <v>0</v>
      </c>
      <c r="L45" s="53">
        <f t="shared" si="3"/>
        <v>0</v>
      </c>
      <c r="M45" s="53">
        <f t="shared" si="3"/>
        <v>0</v>
      </c>
      <c r="N45" s="53">
        <f t="shared" si="3"/>
        <v>0</v>
      </c>
      <c r="O45" s="53">
        <f t="shared" si="3"/>
        <v>0</v>
      </c>
      <c r="P45" s="54"/>
      <c r="Q45" s="55">
        <f>+SUM(C45:O45)</f>
        <v>733884.06</v>
      </c>
    </row>
    <row r="46" spans="2:17" ht="14.65" thickBot="1" x14ac:dyDescent="0.5">
      <c r="B46" s="56"/>
      <c r="C46" s="57"/>
      <c r="D46" s="57"/>
      <c r="E46" s="57"/>
      <c r="F46" s="57"/>
      <c r="G46" s="57"/>
      <c r="H46" s="57"/>
      <c r="I46" s="57"/>
      <c r="J46" s="57"/>
      <c r="K46" s="57"/>
      <c r="M46" s="57"/>
      <c r="N46" s="57"/>
      <c r="P46" s="40"/>
    </row>
    <row r="47" spans="2:17" ht="15.75" x14ac:dyDescent="0.5">
      <c r="B47" s="63" t="s">
        <v>41</v>
      </c>
      <c r="C47" s="58">
        <f>C14-C45</f>
        <v>10503.67</v>
      </c>
      <c r="D47" s="58">
        <f t="shared" ref="D47:O47" si="4">D14-D45</f>
        <v>4121.2500000000291</v>
      </c>
      <c r="E47" s="58">
        <f t="shared" si="4"/>
        <v>38954.569999999978</v>
      </c>
      <c r="F47" s="58">
        <f t="shared" si="4"/>
        <v>163426.12</v>
      </c>
      <c r="G47" s="58">
        <f t="shared" si="4"/>
        <v>0</v>
      </c>
      <c r="H47" s="58">
        <f t="shared" si="4"/>
        <v>0</v>
      </c>
      <c r="I47" s="58">
        <f t="shared" si="4"/>
        <v>0</v>
      </c>
      <c r="J47" s="58">
        <f t="shared" si="4"/>
        <v>0</v>
      </c>
      <c r="K47" s="58">
        <f t="shared" si="4"/>
        <v>0</v>
      </c>
      <c r="L47" s="58">
        <f t="shared" si="4"/>
        <v>0</v>
      </c>
      <c r="M47" s="58">
        <f t="shared" si="4"/>
        <v>0</v>
      </c>
      <c r="N47" s="58">
        <f t="shared" si="4"/>
        <v>0</v>
      </c>
      <c r="O47" s="58">
        <f t="shared" si="4"/>
        <v>0</v>
      </c>
      <c r="P47" s="59"/>
      <c r="Q47" s="60">
        <f>Q14-Q45</f>
        <v>217005.60999999987</v>
      </c>
    </row>
    <row r="48" spans="2:17" ht="16.149999999999999" thickBot="1" x14ac:dyDescent="0.55000000000000004">
      <c r="B48" s="64" t="s">
        <v>42</v>
      </c>
      <c r="C48" s="58">
        <f>C47</f>
        <v>10503.67</v>
      </c>
      <c r="D48" s="58">
        <f>C48+D47</f>
        <v>14624.920000000029</v>
      </c>
      <c r="E48" s="58">
        <f t="shared" ref="E48:O48" si="5">D48+E47</f>
        <v>53579.490000000005</v>
      </c>
      <c r="F48" s="58">
        <f t="shared" si="5"/>
        <v>217005.61</v>
      </c>
      <c r="G48" s="58">
        <f t="shared" si="5"/>
        <v>217005.61</v>
      </c>
      <c r="H48" s="58">
        <f t="shared" si="5"/>
        <v>217005.61</v>
      </c>
      <c r="I48" s="58">
        <f t="shared" si="5"/>
        <v>217005.61</v>
      </c>
      <c r="J48" s="58">
        <f t="shared" si="5"/>
        <v>217005.61</v>
      </c>
      <c r="K48" s="58">
        <f t="shared" si="5"/>
        <v>217005.61</v>
      </c>
      <c r="L48" s="58">
        <f t="shared" si="5"/>
        <v>217005.61</v>
      </c>
      <c r="M48" s="58">
        <f t="shared" si="5"/>
        <v>217005.61</v>
      </c>
      <c r="N48" s="58">
        <f t="shared" si="5"/>
        <v>217005.61</v>
      </c>
      <c r="O48" s="58">
        <f t="shared" si="5"/>
        <v>217005.61</v>
      </c>
      <c r="P48" s="59"/>
      <c r="Q48" s="60"/>
    </row>
  </sheetData>
  <mergeCells count="1">
    <mergeCell ref="B2:C3"/>
  </mergeCells>
  <conditionalFormatting sqref="C47:Q48">
    <cfRule type="cellIs" dxfId="35" priority="1" operator="lessThan">
      <formula>0</formula>
    </cfRule>
    <cfRule type="cellIs" dxfId="34" priority="2" operator="greaterThan">
      <formula>0</formula>
    </cfRule>
  </conditionalFormatting>
  <conditionalFormatting sqref="Q45">
    <cfRule type="cellIs" dxfId="33" priority="3" operator="greaterThan">
      <formula>0</formula>
    </cfRule>
    <cfRule type="cellIs" dxfId="32" priority="4" operator="lessThan">
      <formula>0</formula>
    </cfRule>
  </conditionalFormatting>
  <pageMargins left="0.7" right="0.7" top="0.75" bottom="0.75" header="0.3" footer="0.3"/>
  <pageSetup paperSize="9" orientation="portrait" horizontalDpi="360" verticalDpi="36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15901-2335-4940-B6DA-749785D967D4}">
  <dimension ref="B1:Q48"/>
  <sheetViews>
    <sheetView topLeftCell="A25" workbookViewId="0">
      <selection activeCell="G43" sqref="G43"/>
    </sheetView>
  </sheetViews>
  <sheetFormatPr baseColWidth="10" defaultColWidth="9.1328125" defaultRowHeight="14.25" x14ac:dyDescent="0.45"/>
  <cols>
    <col min="1" max="1" width="4.1328125" style="3" customWidth="1"/>
    <col min="2" max="2" width="37.1328125" style="3" bestFit="1" customWidth="1"/>
    <col min="3" max="3" width="16.53125" style="2" customWidth="1"/>
    <col min="4" max="4" width="16.46484375" style="2" customWidth="1"/>
    <col min="5" max="9" width="16.53125" style="2" customWidth="1"/>
    <col min="10" max="12" width="16.46484375" style="2" bestFit="1" customWidth="1"/>
    <col min="13" max="15" width="15.19921875" style="2" bestFit="1" customWidth="1"/>
    <col min="16" max="16" width="0.33203125" customWidth="1"/>
    <col min="17" max="17" width="15.46484375" style="2" bestFit="1" customWidth="1"/>
    <col min="18" max="16384" width="9.1328125" style="3"/>
  </cols>
  <sheetData>
    <row r="1" spans="2:17" x14ac:dyDescent="0.45">
      <c r="B1" s="71" t="s">
        <v>56</v>
      </c>
      <c r="D1" s="78" t="s">
        <v>55</v>
      </c>
    </row>
    <row r="2" spans="2:17" ht="18" x14ac:dyDescent="0.45">
      <c r="B2" s="79" t="s">
        <v>43</v>
      </c>
      <c r="C2" s="79"/>
      <c r="D2" s="1">
        <f t="shared" ref="D2:O2" si="0">+D48</f>
        <v>14624.920000000029</v>
      </c>
      <c r="E2" s="1">
        <f t="shared" si="0"/>
        <v>53579.490000000005</v>
      </c>
      <c r="F2" s="1">
        <f t="shared" si="0"/>
        <v>85495.360000000001</v>
      </c>
      <c r="G2" s="1">
        <f t="shared" si="0"/>
        <v>271517.57</v>
      </c>
      <c r="H2" s="1">
        <f t="shared" si="0"/>
        <v>271517.57</v>
      </c>
      <c r="I2" s="1">
        <f t="shared" si="0"/>
        <v>271517.57</v>
      </c>
      <c r="J2" s="1">
        <f>+J48</f>
        <v>271517.57</v>
      </c>
      <c r="K2" s="1">
        <f t="shared" si="0"/>
        <v>271517.57</v>
      </c>
      <c r="L2" s="1">
        <f t="shared" si="0"/>
        <v>271517.57</v>
      </c>
      <c r="M2" s="1">
        <f t="shared" si="0"/>
        <v>271517.57</v>
      </c>
      <c r="N2" s="1">
        <f t="shared" si="0"/>
        <v>271517.57</v>
      </c>
      <c r="O2" s="1">
        <f t="shared" si="0"/>
        <v>271517.57</v>
      </c>
      <c r="P2" s="2">
        <f>P48</f>
        <v>0</v>
      </c>
    </row>
    <row r="3" spans="2:17" ht="28.9" thickBot="1" x14ac:dyDescent="0.5">
      <c r="B3" s="80"/>
      <c r="C3" s="80"/>
      <c r="D3" s="61"/>
      <c r="E3" s="61"/>
      <c r="F3" s="61"/>
      <c r="G3" s="61"/>
      <c r="H3" s="61"/>
      <c r="I3" s="61"/>
    </row>
    <row r="4" spans="2:17" s="10" customFormat="1" ht="16.149999999999999" thickBot="1" x14ac:dyDescent="0.5">
      <c r="B4" s="4" t="s">
        <v>0</v>
      </c>
      <c r="C4" s="5" t="s">
        <v>1</v>
      </c>
      <c r="D4" s="5" t="s">
        <v>44</v>
      </c>
      <c r="E4" s="5" t="s">
        <v>45</v>
      </c>
      <c r="F4" s="5" t="s">
        <v>46</v>
      </c>
      <c r="G4" s="5" t="s">
        <v>47</v>
      </c>
      <c r="H4" s="5" t="s">
        <v>48</v>
      </c>
      <c r="I4" s="5" t="s">
        <v>49</v>
      </c>
      <c r="J4" s="6" t="s">
        <v>50</v>
      </c>
      <c r="K4" s="6" t="s">
        <v>51</v>
      </c>
      <c r="L4" s="7" t="s">
        <v>52</v>
      </c>
      <c r="M4" s="6" t="s">
        <v>2</v>
      </c>
      <c r="N4" s="6" t="s">
        <v>3</v>
      </c>
      <c r="O4" s="7" t="s">
        <v>4</v>
      </c>
      <c r="P4" s="8"/>
      <c r="Q4" s="9" t="s">
        <v>5</v>
      </c>
    </row>
    <row r="5" spans="2:17" ht="16.149999999999999" thickBot="1" x14ac:dyDescent="0.55000000000000004">
      <c r="B5" s="11" t="s">
        <v>6</v>
      </c>
      <c r="C5" s="12"/>
      <c r="D5" s="12"/>
      <c r="E5" s="12"/>
      <c r="F5" s="12"/>
      <c r="G5" s="12"/>
      <c r="H5" s="12"/>
      <c r="I5" s="12"/>
      <c r="J5" s="12"/>
      <c r="K5" s="12"/>
      <c r="L5" s="13"/>
      <c r="M5" s="12"/>
      <c r="N5" s="12"/>
      <c r="O5" s="13"/>
      <c r="P5" s="14"/>
      <c r="Q5" s="15"/>
    </row>
    <row r="6" spans="2:17" x14ac:dyDescent="0.45">
      <c r="B6" s="16" t="s">
        <v>7</v>
      </c>
      <c r="C6" s="17">
        <v>10503.67</v>
      </c>
      <c r="D6" s="17"/>
      <c r="E6" s="18"/>
      <c r="F6" s="17"/>
      <c r="G6" s="17"/>
      <c r="H6" s="18"/>
      <c r="I6" s="17"/>
      <c r="J6" s="17"/>
      <c r="K6" s="17"/>
      <c r="L6" s="18"/>
      <c r="M6" s="17"/>
      <c r="N6" s="17"/>
      <c r="O6" s="18"/>
      <c r="P6" s="19"/>
      <c r="Q6" s="20">
        <f>SUM(C6:O6)</f>
        <v>10503.67</v>
      </c>
    </row>
    <row r="7" spans="2:17" x14ac:dyDescent="0.45">
      <c r="B7" s="21" t="s">
        <v>8</v>
      </c>
      <c r="C7" s="22"/>
      <c r="D7" s="22"/>
      <c r="E7" s="23"/>
      <c r="F7" s="22"/>
      <c r="G7" s="22"/>
      <c r="H7" s="23"/>
      <c r="I7" s="22"/>
      <c r="J7" s="22"/>
      <c r="K7" s="22"/>
      <c r="L7" s="23"/>
      <c r="M7" s="22"/>
      <c r="N7" s="22"/>
      <c r="O7" s="23"/>
      <c r="P7" s="19"/>
      <c r="Q7" s="24">
        <f>SUM(C7:O7)</f>
        <v>0</v>
      </c>
    </row>
    <row r="8" spans="2:17" x14ac:dyDescent="0.45">
      <c r="B8" s="21" t="s">
        <v>9</v>
      </c>
      <c r="C8" s="22"/>
      <c r="D8" s="22">
        <v>50000</v>
      </c>
      <c r="E8" s="23">
        <v>50000</v>
      </c>
      <c r="F8" s="22"/>
      <c r="G8" s="22"/>
      <c r="H8" s="23"/>
      <c r="I8" s="22"/>
      <c r="J8" s="22"/>
      <c r="K8" s="22"/>
      <c r="L8" s="23"/>
      <c r="M8" s="22"/>
      <c r="N8" s="22"/>
      <c r="O8" s="23"/>
      <c r="P8" s="19"/>
      <c r="Q8" s="24">
        <f>SUM(C8:O8)</f>
        <v>100000</v>
      </c>
    </row>
    <row r="9" spans="2:17" ht="15" customHeight="1" x14ac:dyDescent="0.45">
      <c r="B9" s="25" t="s">
        <v>10</v>
      </c>
      <c r="C9" s="26"/>
      <c r="D9" s="26"/>
      <c r="E9" s="27"/>
      <c r="F9" s="26"/>
      <c r="G9" s="26"/>
      <c r="H9" s="27"/>
      <c r="I9" s="26"/>
      <c r="J9" s="26"/>
      <c r="K9" s="26"/>
      <c r="L9" s="27"/>
      <c r="M9" s="26"/>
      <c r="N9" s="26"/>
      <c r="O9" s="27"/>
      <c r="P9" s="19"/>
      <c r="Q9" s="28">
        <f>SUM(C9:O9)</f>
        <v>0</v>
      </c>
    </row>
    <row r="10" spans="2:17" ht="1.5" customHeight="1" x14ac:dyDescent="0.45">
      <c r="B10" s="29"/>
      <c r="C10" s="30"/>
      <c r="D10" s="30"/>
      <c r="E10" s="31"/>
      <c r="F10" s="30"/>
      <c r="G10" s="30"/>
      <c r="H10" s="31"/>
      <c r="I10" s="30"/>
      <c r="J10" s="30"/>
      <c r="K10" s="30"/>
      <c r="L10" s="31"/>
      <c r="M10" s="30"/>
      <c r="N10" s="30"/>
      <c r="O10" s="31"/>
      <c r="P10" s="19"/>
      <c r="Q10" s="32"/>
    </row>
    <row r="11" spans="2:17" x14ac:dyDescent="0.45">
      <c r="B11" s="16" t="s">
        <v>11</v>
      </c>
      <c r="C11" s="17"/>
      <c r="D11" s="17">
        <f>4345.2+3744+12642+14520+12672+13728+11760+13680+2160+10800+11832+8268+11040+8052</f>
        <v>139243.20000000001</v>
      </c>
      <c r="E11" s="18">
        <f>11760+15840+15048+13728+15552+6960+10944+12642+9900+11880+13464+14784+13200+12480+6600+2100+8052+12720+10716+15840</f>
        <v>234210</v>
      </c>
      <c r="F11" s="17">
        <f>12936+12144+14520+15312+11880+5280+12000+13728+15312+10752+12600+25176+840+14706+10836+21090+12240+14784+982.8+15600+11880+6624+12600+11280+11400+11040+1260+13920+6000+11232+1392</f>
        <v>351346.8</v>
      </c>
      <c r="G11" s="17">
        <f>476412+10800+13860+12720+600+11880+6600+10656+11760+13920+6588+14400+7224+14256+12696</f>
        <v>624372</v>
      </c>
      <c r="H11" s="18"/>
      <c r="I11" s="17"/>
      <c r="J11" s="17"/>
      <c r="K11" s="17"/>
      <c r="L11" s="18"/>
      <c r="M11" s="17"/>
      <c r="N11" s="17"/>
      <c r="O11" s="18"/>
      <c r="P11" s="19"/>
      <c r="Q11" s="20">
        <f>SUM(C11:O11)</f>
        <v>1349172</v>
      </c>
    </row>
    <row r="12" spans="2:17" x14ac:dyDescent="0.45">
      <c r="B12" s="16" t="s">
        <v>12</v>
      </c>
      <c r="C12" s="17"/>
      <c r="D12" s="17"/>
      <c r="E12" s="18"/>
      <c r="F12" s="17"/>
      <c r="G12" s="17">
        <v>664</v>
      </c>
      <c r="H12" s="18"/>
      <c r="I12" s="17"/>
      <c r="J12" s="17"/>
      <c r="K12" s="17"/>
      <c r="L12" s="18"/>
      <c r="M12" s="17"/>
      <c r="N12" s="17"/>
      <c r="O12" s="18"/>
      <c r="P12" s="19"/>
      <c r="Q12" s="20">
        <f>SUM(C12:O12)</f>
        <v>664</v>
      </c>
    </row>
    <row r="13" spans="2:17" ht="14.65" thickBot="1" x14ac:dyDescent="0.5">
      <c r="B13" s="21" t="s">
        <v>13</v>
      </c>
      <c r="C13" s="22"/>
      <c r="D13" s="22"/>
      <c r="E13" s="23"/>
      <c r="F13" s="22"/>
      <c r="G13" s="22"/>
      <c r="H13" s="23"/>
      <c r="I13" s="22"/>
      <c r="J13" s="22"/>
      <c r="K13" s="22"/>
      <c r="L13" s="23"/>
      <c r="M13" s="22"/>
      <c r="N13" s="22"/>
      <c r="O13" s="23"/>
      <c r="P13" s="19"/>
      <c r="Q13" s="24">
        <f>SUM(C13:O13)</f>
        <v>0</v>
      </c>
    </row>
    <row r="14" spans="2:17" s="10" customFormat="1" ht="16.149999999999999" thickBot="1" x14ac:dyDescent="0.5">
      <c r="B14" s="33" t="s">
        <v>14</v>
      </c>
      <c r="C14" s="34">
        <f>SUM(C6:C13)</f>
        <v>10503.67</v>
      </c>
      <c r="D14" s="34">
        <f t="shared" ref="D14:O14" si="1">SUM(D6:D13)</f>
        <v>189243.2</v>
      </c>
      <c r="E14" s="34">
        <f t="shared" si="1"/>
        <v>284210</v>
      </c>
      <c r="F14" s="34">
        <f t="shared" si="1"/>
        <v>351346.8</v>
      </c>
      <c r="G14" s="34">
        <f t="shared" si="1"/>
        <v>625036</v>
      </c>
      <c r="H14" s="34">
        <f t="shared" si="1"/>
        <v>0</v>
      </c>
      <c r="I14" s="34">
        <f t="shared" si="1"/>
        <v>0</v>
      </c>
      <c r="J14" s="34">
        <f t="shared" si="1"/>
        <v>0</v>
      </c>
      <c r="K14" s="34">
        <f t="shared" si="1"/>
        <v>0</v>
      </c>
      <c r="L14" s="34">
        <f t="shared" si="1"/>
        <v>0</v>
      </c>
      <c r="M14" s="34">
        <f t="shared" si="1"/>
        <v>0</v>
      </c>
      <c r="N14" s="34">
        <f t="shared" si="1"/>
        <v>0</v>
      </c>
      <c r="O14" s="34">
        <f t="shared" si="1"/>
        <v>0</v>
      </c>
      <c r="P14" s="35"/>
      <c r="Q14" s="36">
        <f>SUM(C14:O14)</f>
        <v>1460339.67</v>
      </c>
    </row>
    <row r="15" spans="2:17" ht="14.65" thickBot="1" x14ac:dyDescent="0.5"/>
    <row r="16" spans="2:17" ht="16.149999999999999" thickBot="1" x14ac:dyDescent="0.55000000000000004">
      <c r="B16" s="37" t="s">
        <v>15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62"/>
    </row>
    <row r="17" spans="2:17" x14ac:dyDescent="0.45">
      <c r="B17" s="39" t="s">
        <v>16</v>
      </c>
      <c r="C17" s="43"/>
      <c r="D17" s="43">
        <v>35.33</v>
      </c>
      <c r="E17" s="43"/>
      <c r="F17" s="43"/>
      <c r="G17" s="43">
        <v>1.1100000000000001</v>
      </c>
      <c r="H17" s="43"/>
      <c r="I17" s="43"/>
      <c r="J17" s="43"/>
      <c r="K17" s="43"/>
      <c r="L17" s="43"/>
      <c r="M17" s="43"/>
      <c r="N17" s="43"/>
      <c r="O17" s="43"/>
      <c r="P17" s="40"/>
      <c r="Q17" s="41">
        <f t="shared" ref="Q17:Q44" si="2">+SUM(C17:O17)</f>
        <v>36.44</v>
      </c>
    </row>
    <row r="18" spans="2:17" x14ac:dyDescent="0.45">
      <c r="B18" s="42" t="s">
        <v>17</v>
      </c>
      <c r="C18" s="43"/>
      <c r="D18" s="43">
        <v>38.54</v>
      </c>
      <c r="E18" s="43">
        <v>38.54</v>
      </c>
      <c r="F18" s="43">
        <v>38.54</v>
      </c>
      <c r="G18" s="43">
        <v>38.54</v>
      </c>
      <c r="H18" s="43"/>
      <c r="I18" s="43"/>
      <c r="J18" s="43"/>
      <c r="K18" s="43"/>
      <c r="L18" s="43"/>
      <c r="M18" s="43"/>
      <c r="N18" s="43"/>
      <c r="O18" s="43"/>
      <c r="P18" s="40"/>
      <c r="Q18" s="41">
        <f t="shared" si="2"/>
        <v>154.16</v>
      </c>
    </row>
    <row r="19" spans="2:17" x14ac:dyDescent="0.45">
      <c r="B19" s="42" t="s">
        <v>18</v>
      </c>
      <c r="C19" s="43"/>
      <c r="D19" s="43"/>
      <c r="E19" s="43"/>
      <c r="F19" s="43">
        <v>3402</v>
      </c>
      <c r="G19" s="43"/>
      <c r="H19" s="43"/>
      <c r="I19" s="43"/>
      <c r="J19" s="43"/>
      <c r="K19" s="43"/>
      <c r="L19" s="43"/>
      <c r="M19" s="43"/>
      <c r="N19" s="43"/>
      <c r="O19" s="43"/>
      <c r="P19" s="40"/>
      <c r="Q19" s="41">
        <f t="shared" si="2"/>
        <v>3402</v>
      </c>
    </row>
    <row r="20" spans="2:17" x14ac:dyDescent="0.45">
      <c r="B20" s="42" t="s">
        <v>19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0"/>
      <c r="Q20" s="41">
        <f t="shared" si="2"/>
        <v>0</v>
      </c>
    </row>
    <row r="21" spans="2:17" x14ac:dyDescent="0.45">
      <c r="B21" s="42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0"/>
      <c r="Q21" s="41">
        <f t="shared" si="2"/>
        <v>0</v>
      </c>
    </row>
    <row r="22" spans="2:17" x14ac:dyDescent="0.45">
      <c r="B22" s="42" t="s">
        <v>21</v>
      </c>
      <c r="C22" s="43"/>
      <c r="D22" s="43">
        <v>108</v>
      </c>
      <c r="E22" s="43">
        <v>216</v>
      </c>
      <c r="F22" s="43">
        <f>216+324</f>
        <v>540</v>
      </c>
      <c r="G22" s="77">
        <v>324</v>
      </c>
      <c r="H22" s="43"/>
      <c r="I22" s="43"/>
      <c r="J22" s="43"/>
      <c r="K22" s="43"/>
      <c r="L22" s="43"/>
      <c r="M22" s="43"/>
      <c r="N22" s="43"/>
      <c r="O22" s="43"/>
      <c r="P22" s="40"/>
      <c r="Q22" s="41">
        <f t="shared" si="2"/>
        <v>1188</v>
      </c>
    </row>
    <row r="23" spans="2:17" x14ac:dyDescent="0.45"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7"/>
      <c r="P23" s="40"/>
      <c r="Q23" s="41">
        <f t="shared" si="2"/>
        <v>0</v>
      </c>
    </row>
    <row r="24" spans="2:17" x14ac:dyDescent="0.45">
      <c r="B24" s="44" t="s">
        <v>22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0"/>
      <c r="Q24" s="41">
        <f t="shared" si="2"/>
        <v>0</v>
      </c>
    </row>
    <row r="25" spans="2:17" x14ac:dyDescent="0.45">
      <c r="B25" s="45" t="s">
        <v>23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0"/>
      <c r="Q25" s="41">
        <f t="shared" si="2"/>
        <v>0</v>
      </c>
    </row>
    <row r="26" spans="2:17" x14ac:dyDescent="0.45">
      <c r="B26" s="45" t="s">
        <v>24</v>
      </c>
      <c r="C26" s="43"/>
      <c r="D26" s="43"/>
      <c r="E26" s="43">
        <v>6600</v>
      </c>
      <c r="F26" s="43">
        <v>6600</v>
      </c>
      <c r="G26" s="43"/>
      <c r="H26" s="43"/>
      <c r="I26" s="43"/>
      <c r="J26" s="43"/>
      <c r="K26" s="43"/>
      <c r="L26" s="43"/>
      <c r="M26" s="43"/>
      <c r="N26" s="43"/>
      <c r="O26" s="43"/>
      <c r="P26" s="40"/>
      <c r="Q26" s="41">
        <f t="shared" si="2"/>
        <v>13200</v>
      </c>
    </row>
    <row r="27" spans="2:17" ht="15" customHeight="1" x14ac:dyDescent="0.45">
      <c r="B27" s="45" t="s">
        <v>25</v>
      </c>
      <c r="C27" s="43"/>
      <c r="D27" s="43">
        <f>43.06+104.3+11.7+1.2+38.7+10.95+43.06</f>
        <v>252.96999999999997</v>
      </c>
      <c r="E27" s="43">
        <f>50.5+173+62+26.3+40.7+43+1.2+243+12.05</f>
        <v>651.75</v>
      </c>
      <c r="F27" s="43">
        <f>1.2+439+664+235.5</f>
        <v>1339.7</v>
      </c>
      <c r="G27" s="43">
        <f>55.37+1.2</f>
        <v>56.57</v>
      </c>
      <c r="H27" s="43"/>
      <c r="I27" s="43"/>
      <c r="J27" s="43"/>
      <c r="K27" s="43"/>
      <c r="L27" s="43"/>
      <c r="M27" s="43"/>
      <c r="N27" s="43"/>
      <c r="O27" s="43"/>
      <c r="P27" s="40"/>
      <c r="Q27" s="41">
        <f t="shared" si="2"/>
        <v>2300.9900000000002</v>
      </c>
    </row>
    <row r="28" spans="2:17" ht="15" customHeight="1" x14ac:dyDescent="0.45">
      <c r="B28" s="21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0"/>
      <c r="Q28" s="41">
        <f t="shared" si="2"/>
        <v>0</v>
      </c>
    </row>
    <row r="29" spans="2:17" x14ac:dyDescent="0.45">
      <c r="B29" s="46" t="s">
        <v>26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0"/>
      <c r="Q29" s="41">
        <f t="shared" si="2"/>
        <v>0</v>
      </c>
    </row>
    <row r="30" spans="2:17" x14ac:dyDescent="0.45">
      <c r="B30" s="46" t="s">
        <v>27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0"/>
      <c r="Q30" s="41">
        <f t="shared" si="2"/>
        <v>0</v>
      </c>
    </row>
    <row r="31" spans="2:17" x14ac:dyDescent="0.45">
      <c r="B31" s="46" t="s">
        <v>28</v>
      </c>
      <c r="C31" s="43"/>
      <c r="D31" s="43"/>
      <c r="E31" s="43">
        <f>3900+6600</f>
        <v>10500</v>
      </c>
      <c r="F31" s="43">
        <f>2352+8550+13728+6600+12000</f>
        <v>43230</v>
      </c>
      <c r="G31" s="43">
        <f>64338.6+3500+6116.2</f>
        <v>73954.8</v>
      </c>
      <c r="H31" s="43"/>
      <c r="I31" s="43"/>
      <c r="J31" s="43"/>
      <c r="K31" s="43"/>
      <c r="L31" s="43"/>
      <c r="M31" s="43"/>
      <c r="N31" s="43"/>
      <c r="O31" s="43"/>
      <c r="P31" s="40"/>
      <c r="Q31" s="41">
        <f t="shared" si="2"/>
        <v>127684.8</v>
      </c>
    </row>
    <row r="32" spans="2:17" x14ac:dyDescent="0.45">
      <c r="B32" s="21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0"/>
      <c r="Q32" s="41">
        <f t="shared" si="2"/>
        <v>0</v>
      </c>
    </row>
    <row r="33" spans="2:17" x14ac:dyDescent="0.45">
      <c r="B33" s="47" t="s">
        <v>29</v>
      </c>
      <c r="C33" s="43"/>
      <c r="D33" s="43">
        <f>5393.45+6963.42+3603.05+3845.76+4748.71+4800.83+4588.27+2682.2+4198.99+5330.69+4953.25+4540.36+5793.2+5737.17+5210.66+4871.86+5603.31+5622.89+5371.28+4740.09+4975.84+5889.62+4938.15+6612.4+4856.96</f>
        <v>125872.40999999999</v>
      </c>
      <c r="E33" s="43">
        <f>4740.09+4856.96+5889.62+4938.15+4975.84+6612.4+5371.28+3973.24+3724.6+6025.8+4996.03+2281.82+5393.45+3845.76+5055.27+4800.83+5737.17+5622.89+4198.99+4953.25+4544.7+5603.31+5330.69+5793.2+6962.33+5093.08+4841.69+4507.46+262.04+527.68+5217.98</f>
        <v>146677.6</v>
      </c>
      <c r="F33" s="43">
        <f>6962.33+5393.45+3973.24+3845.76+5093.08+5055.27+6025.8+4740.09+4800.83+4841.69+4856.96+5889.62+5622.89+4996.03+4938.15+5217.98+4198.99+6612.4+4953.25+4507.46+5371.28+5603.31+5330.69+5793.2+2535.12+4727.68+6072.82+3883.63+4592.51+4598.44+5457.37+5680.68+4846.9+1931.4+6227.2</f>
        <v>175177.5</v>
      </c>
      <c r="G33" s="77">
        <v>184073.62</v>
      </c>
      <c r="H33" s="43"/>
      <c r="I33" s="43"/>
      <c r="J33" s="43"/>
      <c r="K33" s="43"/>
      <c r="L33" s="43"/>
      <c r="M33" s="43"/>
      <c r="N33" s="43"/>
      <c r="O33" s="43"/>
      <c r="P33" s="40"/>
      <c r="Q33" s="41">
        <f t="shared" si="2"/>
        <v>631801.13</v>
      </c>
    </row>
    <row r="34" spans="2:17" x14ac:dyDescent="0.45">
      <c r="B34" s="48" t="s">
        <v>30</v>
      </c>
      <c r="C34" s="43"/>
      <c r="D34" s="43"/>
      <c r="E34" s="43">
        <f>474.88+480.49+592.03+171.86+398.2+981.2+534.82+358.4+457.84+771.66+193.56</f>
        <v>5414.9400000000005</v>
      </c>
      <c r="F34" s="43">
        <f>597+440.8+500.52+118.98+248.14+568.6+313+118.98+384+892+301.71+586.2+649.54+358.4+338.56+720+671.55+491.92+553.17+279.33+308.82+291.7+592.03+892+212.2+158.64+384+372.9+610.51+710.6+345.48+474.88</f>
        <v>14486.16</v>
      </c>
      <c r="G34" s="77">
        <f>720+671.55+491.92+553.17+279.33+308.82+291.7+592.03+892+212.2+158.64+384+372.9+610.51+710.6+345.48+474.88</f>
        <v>8069.7300000000005</v>
      </c>
      <c r="H34" s="43"/>
      <c r="I34" s="43"/>
      <c r="J34" s="43"/>
      <c r="K34" s="43"/>
      <c r="L34" s="43"/>
      <c r="M34" s="43"/>
      <c r="N34" s="43"/>
      <c r="O34" s="43"/>
      <c r="P34" s="40"/>
      <c r="Q34" s="41">
        <f t="shared" si="2"/>
        <v>27970.829999999998</v>
      </c>
    </row>
    <row r="35" spans="2:17" x14ac:dyDescent="0.45">
      <c r="B35" s="48" t="s">
        <v>31</v>
      </c>
      <c r="C35" s="43"/>
      <c r="D35" s="43"/>
      <c r="E35" s="43">
        <v>6000</v>
      </c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0"/>
      <c r="Q35" s="41">
        <f t="shared" si="2"/>
        <v>6000</v>
      </c>
    </row>
    <row r="36" spans="2:17" x14ac:dyDescent="0.45">
      <c r="B36" s="48" t="s">
        <v>32</v>
      </c>
      <c r="C36" s="43"/>
      <c r="D36" s="43">
        <f>781.25+253.06+1528+1199.99+39.98+1479+25</f>
        <v>5306.2800000000007</v>
      </c>
      <c r="E36" s="43">
        <f>1609+1609+1990</f>
        <v>5208</v>
      </c>
      <c r="F36" s="43">
        <f>118.8+15+55.2+1179+583.2+31.83</f>
        <v>1983.03</v>
      </c>
      <c r="G36" s="43">
        <f>104.6+3945.73</f>
        <v>4050.33</v>
      </c>
      <c r="H36" s="43"/>
      <c r="I36" s="43"/>
      <c r="J36" s="43"/>
      <c r="K36" s="43"/>
      <c r="L36" s="43"/>
      <c r="M36" s="43"/>
      <c r="N36" s="43"/>
      <c r="O36" s="43"/>
      <c r="P36" s="40"/>
      <c r="Q36" s="41">
        <f t="shared" si="2"/>
        <v>16547.64</v>
      </c>
    </row>
    <row r="37" spans="2:17" x14ac:dyDescent="0.45">
      <c r="B37" s="48" t="s">
        <v>33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0"/>
      <c r="Q37" s="41">
        <f t="shared" si="2"/>
        <v>0</v>
      </c>
    </row>
    <row r="38" spans="2:17" x14ac:dyDescent="0.45">
      <c r="B38" s="48" t="s">
        <v>34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0"/>
      <c r="Q38" s="41">
        <f t="shared" si="2"/>
        <v>0</v>
      </c>
    </row>
    <row r="39" spans="2:17" x14ac:dyDescent="0.45">
      <c r="B39" s="49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0"/>
      <c r="Q39" s="41">
        <f t="shared" si="2"/>
        <v>0</v>
      </c>
    </row>
    <row r="40" spans="2:17" x14ac:dyDescent="0.45">
      <c r="B40" s="50" t="s">
        <v>35</v>
      </c>
      <c r="C40" s="43"/>
      <c r="D40" s="43">
        <v>28761</v>
      </c>
      <c r="E40" s="43">
        <v>54110</v>
      </c>
      <c r="F40" s="43">
        <v>63309</v>
      </c>
      <c r="G40" s="43">
        <v>74800</v>
      </c>
      <c r="H40" s="43"/>
      <c r="I40" s="43"/>
      <c r="J40" s="43"/>
      <c r="K40" s="43"/>
      <c r="L40" s="43"/>
      <c r="M40" s="43"/>
      <c r="N40" s="43"/>
      <c r="O40" s="43"/>
      <c r="P40" s="40"/>
      <c r="Q40" s="41">
        <f t="shared" si="2"/>
        <v>220980</v>
      </c>
    </row>
    <row r="41" spans="2:17" x14ac:dyDescent="0.45">
      <c r="B41" s="51" t="s">
        <v>36</v>
      </c>
      <c r="C41" s="43"/>
      <c r="D41" s="43">
        <f>1277.47+6157.76+11138.54</f>
        <v>18573.77</v>
      </c>
      <c r="E41" s="43"/>
      <c r="F41" s="43"/>
      <c r="G41" s="43">
        <v>70790.91</v>
      </c>
      <c r="H41" s="43"/>
      <c r="I41" s="43"/>
      <c r="J41" s="43"/>
      <c r="K41" s="43"/>
      <c r="L41" s="43"/>
      <c r="M41" s="43"/>
      <c r="N41" s="43"/>
      <c r="O41" s="43"/>
      <c r="P41" s="40"/>
      <c r="Q41" s="41">
        <f t="shared" si="2"/>
        <v>89364.680000000008</v>
      </c>
    </row>
    <row r="42" spans="2:17" x14ac:dyDescent="0.45">
      <c r="B42" s="51" t="s">
        <v>37</v>
      </c>
      <c r="C42" s="43"/>
      <c r="D42" s="43"/>
      <c r="E42" s="43">
        <v>1568.6</v>
      </c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0"/>
      <c r="Q42" s="41">
        <f t="shared" si="2"/>
        <v>1568.6</v>
      </c>
    </row>
    <row r="43" spans="2:17" x14ac:dyDescent="0.45">
      <c r="B43" s="51" t="s">
        <v>38</v>
      </c>
      <c r="C43" s="43"/>
      <c r="D43" s="43">
        <v>1597.65</v>
      </c>
      <c r="E43" s="43"/>
      <c r="F43" s="43"/>
      <c r="G43" s="68">
        <v>13101.18</v>
      </c>
      <c r="H43" s="43"/>
      <c r="I43" s="43"/>
      <c r="J43" s="43"/>
      <c r="K43" s="43"/>
      <c r="L43" s="43"/>
      <c r="M43" s="43"/>
      <c r="N43" s="43"/>
      <c r="O43" s="43"/>
      <c r="P43" s="40"/>
      <c r="Q43" s="41">
        <f t="shared" si="2"/>
        <v>14698.83</v>
      </c>
    </row>
    <row r="44" spans="2:17" ht="14.65" thickBot="1" x14ac:dyDescent="0.5">
      <c r="B44" s="51" t="s">
        <v>39</v>
      </c>
      <c r="C44" s="43"/>
      <c r="D44" s="43">
        <v>4576</v>
      </c>
      <c r="E44" s="43">
        <v>8270</v>
      </c>
      <c r="F44" s="43">
        <v>9325</v>
      </c>
      <c r="G44" s="43">
        <v>9753</v>
      </c>
      <c r="H44" s="43"/>
      <c r="I44" s="43"/>
      <c r="J44" s="43"/>
      <c r="K44" s="43"/>
      <c r="L44" s="43"/>
      <c r="M44" s="43"/>
      <c r="N44" s="43"/>
      <c r="O44" s="43"/>
      <c r="P44" s="40"/>
      <c r="Q44" s="41">
        <f t="shared" si="2"/>
        <v>31924</v>
      </c>
    </row>
    <row r="45" spans="2:17" ht="16.149999999999999" thickBot="1" x14ac:dyDescent="0.55000000000000004">
      <c r="B45" s="52" t="s">
        <v>40</v>
      </c>
      <c r="C45" s="53">
        <f>+SUM(C17:C44)</f>
        <v>0</v>
      </c>
      <c r="D45" s="53">
        <f t="shared" ref="D45:O45" si="3">+SUM(D17:D44)</f>
        <v>185121.94999999998</v>
      </c>
      <c r="E45" s="53">
        <f t="shared" si="3"/>
        <v>245255.43000000002</v>
      </c>
      <c r="F45" s="53">
        <f t="shared" si="3"/>
        <v>319430.93</v>
      </c>
      <c r="G45" s="53">
        <f t="shared" si="3"/>
        <v>439013.79</v>
      </c>
      <c r="H45" s="53">
        <f t="shared" si="3"/>
        <v>0</v>
      </c>
      <c r="I45" s="53">
        <f t="shared" si="3"/>
        <v>0</v>
      </c>
      <c r="J45" s="53">
        <f t="shared" si="3"/>
        <v>0</v>
      </c>
      <c r="K45" s="53">
        <f t="shared" si="3"/>
        <v>0</v>
      </c>
      <c r="L45" s="53">
        <f t="shared" si="3"/>
        <v>0</v>
      </c>
      <c r="M45" s="53">
        <f t="shared" si="3"/>
        <v>0</v>
      </c>
      <c r="N45" s="53">
        <f t="shared" si="3"/>
        <v>0</v>
      </c>
      <c r="O45" s="53">
        <f t="shared" si="3"/>
        <v>0</v>
      </c>
      <c r="P45" s="54"/>
      <c r="Q45" s="55">
        <f>+SUM(C45:O45)</f>
        <v>1188822.1000000001</v>
      </c>
    </row>
    <row r="46" spans="2:17" ht="14.65" thickBot="1" x14ac:dyDescent="0.5">
      <c r="B46" s="56"/>
      <c r="C46" s="57"/>
      <c r="D46" s="57"/>
      <c r="E46" s="57"/>
      <c r="F46" s="57"/>
      <c r="G46" s="57"/>
      <c r="H46" s="57"/>
      <c r="I46" s="57"/>
      <c r="J46" s="57"/>
      <c r="K46" s="57"/>
      <c r="M46" s="57"/>
      <c r="N46" s="57"/>
      <c r="P46" s="40"/>
    </row>
    <row r="47" spans="2:17" ht="15.75" x14ac:dyDescent="0.5">
      <c r="B47" s="63" t="s">
        <v>41</v>
      </c>
      <c r="C47" s="58">
        <f>C14-C45</f>
        <v>10503.67</v>
      </c>
      <c r="D47" s="58">
        <f t="shared" ref="D47:O47" si="4">D14-D45</f>
        <v>4121.2500000000291</v>
      </c>
      <c r="E47" s="58">
        <f t="shared" si="4"/>
        <v>38954.569999999978</v>
      </c>
      <c r="F47" s="58">
        <f t="shared" si="4"/>
        <v>31915.869999999995</v>
      </c>
      <c r="G47" s="58">
        <f t="shared" si="4"/>
        <v>186022.21000000002</v>
      </c>
      <c r="H47" s="58">
        <f t="shared" si="4"/>
        <v>0</v>
      </c>
      <c r="I47" s="58">
        <f t="shared" si="4"/>
        <v>0</v>
      </c>
      <c r="J47" s="58">
        <f t="shared" si="4"/>
        <v>0</v>
      </c>
      <c r="K47" s="58">
        <f t="shared" si="4"/>
        <v>0</v>
      </c>
      <c r="L47" s="58">
        <f t="shared" si="4"/>
        <v>0</v>
      </c>
      <c r="M47" s="58">
        <f t="shared" si="4"/>
        <v>0</v>
      </c>
      <c r="N47" s="58">
        <f t="shared" si="4"/>
        <v>0</v>
      </c>
      <c r="O47" s="58">
        <f t="shared" si="4"/>
        <v>0</v>
      </c>
      <c r="P47" s="59"/>
      <c r="Q47" s="60">
        <f>Q14-Q45</f>
        <v>271517.56999999983</v>
      </c>
    </row>
    <row r="48" spans="2:17" ht="16.149999999999999" thickBot="1" x14ac:dyDescent="0.55000000000000004">
      <c r="B48" s="64" t="s">
        <v>42</v>
      </c>
      <c r="C48" s="58">
        <f>C47</f>
        <v>10503.67</v>
      </c>
      <c r="D48" s="58">
        <f>C48+D47</f>
        <v>14624.920000000029</v>
      </c>
      <c r="E48" s="58">
        <f t="shared" ref="E48:O48" si="5">D48+E47</f>
        <v>53579.490000000005</v>
      </c>
      <c r="F48" s="58">
        <f t="shared" si="5"/>
        <v>85495.360000000001</v>
      </c>
      <c r="G48" s="58">
        <f t="shared" si="5"/>
        <v>271517.57</v>
      </c>
      <c r="H48" s="58">
        <f t="shared" si="5"/>
        <v>271517.57</v>
      </c>
      <c r="I48" s="58">
        <f t="shared" si="5"/>
        <v>271517.57</v>
      </c>
      <c r="J48" s="58">
        <f t="shared" si="5"/>
        <v>271517.57</v>
      </c>
      <c r="K48" s="58">
        <f t="shared" si="5"/>
        <v>271517.57</v>
      </c>
      <c r="L48" s="58">
        <f t="shared" si="5"/>
        <v>271517.57</v>
      </c>
      <c r="M48" s="58">
        <f t="shared" si="5"/>
        <v>271517.57</v>
      </c>
      <c r="N48" s="58">
        <f t="shared" si="5"/>
        <v>271517.57</v>
      </c>
      <c r="O48" s="58">
        <f t="shared" si="5"/>
        <v>271517.57</v>
      </c>
      <c r="P48" s="59"/>
      <c r="Q48" s="60"/>
    </row>
  </sheetData>
  <mergeCells count="1">
    <mergeCell ref="B2:C3"/>
  </mergeCells>
  <conditionalFormatting sqref="C47:Q48">
    <cfRule type="cellIs" dxfId="31" priority="1" operator="lessThan">
      <formula>0</formula>
    </cfRule>
    <cfRule type="cellIs" dxfId="30" priority="2" operator="greaterThan">
      <formula>0</formula>
    </cfRule>
  </conditionalFormatting>
  <conditionalFormatting sqref="Q45">
    <cfRule type="cellIs" dxfId="29" priority="3" operator="greaterThan">
      <formula>0</formula>
    </cfRule>
    <cfRule type="cellIs" dxfId="28" priority="4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3098B-33D6-4122-A3C9-9B2807AF5247}">
  <dimension ref="B1:Q48"/>
  <sheetViews>
    <sheetView workbookViewId="0">
      <selection activeCell="H11" sqref="H11"/>
    </sheetView>
  </sheetViews>
  <sheetFormatPr baseColWidth="10" defaultColWidth="9.1328125" defaultRowHeight="14.25" x14ac:dyDescent="0.45"/>
  <cols>
    <col min="1" max="1" width="4.1328125" style="3" customWidth="1"/>
    <col min="2" max="2" width="37.1328125" style="3" bestFit="1" customWidth="1"/>
    <col min="3" max="3" width="16.53125" style="2" customWidth="1"/>
    <col min="4" max="4" width="16.46484375" style="2" customWidth="1"/>
    <col min="5" max="9" width="16.53125" style="2" customWidth="1"/>
    <col min="10" max="11" width="16.46484375" style="2" bestFit="1" customWidth="1"/>
    <col min="12" max="15" width="15.19921875" style="2" bestFit="1" customWidth="1"/>
    <col min="16" max="16" width="0.33203125" customWidth="1"/>
    <col min="17" max="17" width="15.46484375" style="2" bestFit="1" customWidth="1"/>
    <col min="18" max="16384" width="9.1328125" style="3"/>
  </cols>
  <sheetData>
    <row r="1" spans="2:17" x14ac:dyDescent="0.45">
      <c r="B1" s="71" t="s">
        <v>57</v>
      </c>
    </row>
    <row r="2" spans="2:17" ht="18" x14ac:dyDescent="0.45">
      <c r="B2" s="79" t="s">
        <v>43</v>
      </c>
      <c r="C2" s="79"/>
      <c r="D2" s="1">
        <f t="shared" ref="D2:O2" si="0">+D48</f>
        <v>14624.920000000029</v>
      </c>
      <c r="E2" s="1">
        <f t="shared" si="0"/>
        <v>53579.490000000005</v>
      </c>
      <c r="F2" s="1">
        <f t="shared" si="0"/>
        <v>85495.360000000001</v>
      </c>
      <c r="G2" s="1">
        <f t="shared" si="0"/>
        <v>41991.470000000103</v>
      </c>
      <c r="H2" s="1">
        <f t="shared" si="0"/>
        <v>201657.35000000015</v>
      </c>
      <c r="I2" s="1">
        <f t="shared" si="0"/>
        <v>201657.35000000015</v>
      </c>
      <c r="J2" s="1">
        <f t="shared" si="0"/>
        <v>201657.35000000015</v>
      </c>
      <c r="K2" s="1">
        <f t="shared" si="0"/>
        <v>201657.35000000015</v>
      </c>
      <c r="L2" s="1">
        <f t="shared" si="0"/>
        <v>201657.35000000015</v>
      </c>
      <c r="M2" s="1">
        <f t="shared" si="0"/>
        <v>201657.35000000015</v>
      </c>
      <c r="N2" s="1">
        <f t="shared" si="0"/>
        <v>201657.35000000015</v>
      </c>
      <c r="O2" s="1">
        <f t="shared" si="0"/>
        <v>201657.35000000015</v>
      </c>
      <c r="P2" s="2">
        <f>P48</f>
        <v>0</v>
      </c>
    </row>
    <row r="3" spans="2:17" ht="28.9" thickBot="1" x14ac:dyDescent="0.5">
      <c r="B3" s="80"/>
      <c r="C3" s="80"/>
      <c r="D3" s="61"/>
      <c r="E3" s="61"/>
      <c r="F3" s="61"/>
      <c r="G3" s="61"/>
      <c r="H3" s="61"/>
      <c r="I3" s="61"/>
    </row>
    <row r="4" spans="2:17" s="10" customFormat="1" ht="16.149999999999999" thickBot="1" x14ac:dyDescent="0.5">
      <c r="B4" s="4" t="s">
        <v>0</v>
      </c>
      <c r="C4" s="5" t="s">
        <v>1</v>
      </c>
      <c r="D4" s="5" t="s">
        <v>44</v>
      </c>
      <c r="E4" s="5" t="s">
        <v>45</v>
      </c>
      <c r="F4" s="5" t="s">
        <v>46</v>
      </c>
      <c r="G4" s="5" t="s">
        <v>47</v>
      </c>
      <c r="H4" s="5" t="s">
        <v>48</v>
      </c>
      <c r="I4" s="5" t="s">
        <v>49</v>
      </c>
      <c r="J4" s="6" t="s">
        <v>50</v>
      </c>
      <c r="K4" s="6" t="s">
        <v>51</v>
      </c>
      <c r="L4" s="7" t="s">
        <v>52</v>
      </c>
      <c r="M4" s="6" t="s">
        <v>2</v>
      </c>
      <c r="N4" s="6" t="s">
        <v>3</v>
      </c>
      <c r="O4" s="7" t="s">
        <v>4</v>
      </c>
      <c r="P4" s="8"/>
      <c r="Q4" s="9" t="s">
        <v>5</v>
      </c>
    </row>
    <row r="5" spans="2:17" ht="16.149999999999999" thickBot="1" x14ac:dyDescent="0.55000000000000004">
      <c r="B5" s="11" t="s">
        <v>6</v>
      </c>
      <c r="C5" s="12"/>
      <c r="D5" s="12"/>
      <c r="E5" s="12"/>
      <c r="F5" s="12"/>
      <c r="G5" s="12"/>
      <c r="H5" s="12"/>
      <c r="I5" s="12"/>
      <c r="J5" s="12"/>
      <c r="K5" s="12"/>
      <c r="L5" s="13"/>
      <c r="M5" s="12"/>
      <c r="N5" s="12"/>
      <c r="O5" s="13"/>
      <c r="P5" s="14"/>
      <c r="Q5" s="15"/>
    </row>
    <row r="6" spans="2:17" x14ac:dyDescent="0.45">
      <c r="B6" s="16" t="s">
        <v>7</v>
      </c>
      <c r="C6" s="17">
        <v>10503.67</v>
      </c>
      <c r="D6" s="17"/>
      <c r="E6" s="18"/>
      <c r="F6" s="17"/>
      <c r="G6" s="17"/>
      <c r="H6" s="18"/>
      <c r="I6" s="17"/>
      <c r="J6" s="17"/>
      <c r="K6" s="17"/>
      <c r="L6" s="18"/>
      <c r="M6" s="17"/>
      <c r="N6" s="17"/>
      <c r="O6" s="18"/>
      <c r="P6" s="19"/>
      <c r="Q6" s="20">
        <f>SUM(C6:O6)</f>
        <v>10503.67</v>
      </c>
    </row>
    <row r="7" spans="2:17" x14ac:dyDescent="0.45">
      <c r="B7" s="21" t="s">
        <v>8</v>
      </c>
      <c r="C7" s="22"/>
      <c r="D7" s="22"/>
      <c r="E7" s="23"/>
      <c r="F7" s="22"/>
      <c r="G7" s="22"/>
      <c r="H7" s="23"/>
      <c r="I7" s="22"/>
      <c r="J7" s="22"/>
      <c r="K7" s="22"/>
      <c r="L7" s="23"/>
      <c r="M7" s="22"/>
      <c r="N7" s="22"/>
      <c r="O7" s="23"/>
      <c r="P7" s="19"/>
      <c r="Q7" s="24">
        <f>SUM(C7:O7)</f>
        <v>0</v>
      </c>
    </row>
    <row r="8" spans="2:17" x14ac:dyDescent="0.45">
      <c r="B8" s="21" t="s">
        <v>9</v>
      </c>
      <c r="C8" s="22"/>
      <c r="D8" s="22">
        <v>50000</v>
      </c>
      <c r="E8" s="23">
        <v>50000</v>
      </c>
      <c r="F8" s="22"/>
      <c r="G8" s="22"/>
      <c r="H8" s="23"/>
      <c r="I8" s="22"/>
      <c r="J8" s="22"/>
      <c r="K8" s="22"/>
      <c r="L8" s="23"/>
      <c r="M8" s="22"/>
      <c r="N8" s="22"/>
      <c r="O8" s="23"/>
      <c r="P8" s="19"/>
      <c r="Q8" s="24">
        <f>SUM(C8:O8)</f>
        <v>100000</v>
      </c>
    </row>
    <row r="9" spans="2:17" ht="15" customHeight="1" x14ac:dyDescent="0.45">
      <c r="B9" s="25" t="s">
        <v>10</v>
      </c>
      <c r="C9" s="26"/>
      <c r="D9" s="26"/>
      <c r="E9" s="27"/>
      <c r="F9" s="26"/>
      <c r="G9" s="26"/>
      <c r="H9" s="27"/>
      <c r="I9" s="26"/>
      <c r="J9" s="26"/>
      <c r="K9" s="26"/>
      <c r="L9" s="27"/>
      <c r="M9" s="26"/>
      <c r="N9" s="26"/>
      <c r="O9" s="27"/>
      <c r="P9" s="19"/>
      <c r="Q9" s="28">
        <f>SUM(C9:O9)</f>
        <v>0</v>
      </c>
    </row>
    <row r="10" spans="2:17" ht="1.5" customHeight="1" x14ac:dyDescent="0.45">
      <c r="B10" s="29"/>
      <c r="C10" s="30"/>
      <c r="D10" s="30"/>
      <c r="E10" s="31"/>
      <c r="F10" s="30"/>
      <c r="G10" s="30"/>
      <c r="H10" s="31"/>
      <c r="I10" s="30"/>
      <c r="J10" s="30"/>
      <c r="K10" s="30"/>
      <c r="L10" s="31"/>
      <c r="M10" s="30"/>
      <c r="N10" s="30"/>
      <c r="O10" s="31"/>
      <c r="P10" s="19"/>
      <c r="Q10" s="32"/>
    </row>
    <row r="11" spans="2:17" x14ac:dyDescent="0.45">
      <c r="B11" s="16" t="s">
        <v>11</v>
      </c>
      <c r="C11" s="17"/>
      <c r="D11" s="17">
        <f>4345.2+3744+12642+14520+12672+13728+11760+13680+2160+10800+11832+8268+11040+8052</f>
        <v>139243.20000000001</v>
      </c>
      <c r="E11" s="18">
        <f>11760+15840+15048+13728+15552+6960+10944+12642+9900+11880+13464+14784+13200+12480+6600+2100+8052+12720+10716+15840</f>
        <v>234210</v>
      </c>
      <c r="F11" s="17">
        <f>12936+12144+14520+15312+11880+5280+12000+13728+15312+10752+12600+25176+840+14706+10836+21090+12240+14784+982.8+15600+11880+6624+12600+11280+11400+11040+1260+13920+6000+11232+1392</f>
        <v>351346.8</v>
      </c>
      <c r="G11" s="17">
        <f>10800+125.52+13860+12720+600+12852+15600+11880+6600+10656+11760+13920+12480+14040+6588+20766+11556+14400+11400+7224+14400+10080+10584+10800+14256+14400+23184+12972+12000+6900</f>
        <v>349403.52</v>
      </c>
      <c r="H11" s="18">
        <f>432106.8+12420+10080+12600+6900+4752+16146+15840+11136+11040+6600+15180+13200+11520+14352+12054+14628+11832+15312+840+8052+2232+11352</f>
        <v>670174.80000000005</v>
      </c>
      <c r="I11" s="17"/>
      <c r="J11" s="17"/>
      <c r="K11" s="17"/>
      <c r="L11" s="18"/>
      <c r="M11" s="17"/>
      <c r="N11" s="17"/>
      <c r="O11" s="18"/>
      <c r="P11" s="19"/>
      <c r="Q11" s="20">
        <f>SUM(C11:O11)</f>
        <v>1744378.32</v>
      </c>
    </row>
    <row r="12" spans="2:17" x14ac:dyDescent="0.45">
      <c r="B12" s="16" t="s">
        <v>12</v>
      </c>
      <c r="C12" s="17"/>
      <c r="D12" s="17"/>
      <c r="E12" s="18"/>
      <c r="F12" s="17"/>
      <c r="G12" s="17">
        <v>664</v>
      </c>
      <c r="H12" s="18"/>
      <c r="I12" s="17"/>
      <c r="J12" s="17"/>
      <c r="K12" s="17"/>
      <c r="L12" s="18"/>
      <c r="M12" s="17"/>
      <c r="N12" s="17"/>
      <c r="O12" s="18"/>
      <c r="P12" s="19"/>
      <c r="Q12" s="20">
        <f>SUM(C12:O12)</f>
        <v>664</v>
      </c>
    </row>
    <row r="13" spans="2:17" ht="14.65" thickBot="1" x14ac:dyDescent="0.5">
      <c r="B13" s="21" t="s">
        <v>13</v>
      </c>
      <c r="C13" s="22"/>
      <c r="D13" s="22"/>
      <c r="E13" s="23"/>
      <c r="F13" s="22"/>
      <c r="G13" s="22"/>
      <c r="H13" s="23"/>
      <c r="I13" s="22"/>
      <c r="J13" s="22"/>
      <c r="K13" s="22"/>
      <c r="L13" s="23"/>
      <c r="M13" s="22"/>
      <c r="N13" s="22"/>
      <c r="O13" s="23"/>
      <c r="P13" s="19"/>
      <c r="Q13" s="24">
        <f>SUM(C13:O13)</f>
        <v>0</v>
      </c>
    </row>
    <row r="14" spans="2:17" s="10" customFormat="1" ht="16.149999999999999" thickBot="1" x14ac:dyDescent="0.5">
      <c r="B14" s="33" t="s">
        <v>14</v>
      </c>
      <c r="C14" s="34">
        <f>SUM(C6:C13)</f>
        <v>10503.67</v>
      </c>
      <c r="D14" s="34">
        <f t="shared" ref="D14:O14" si="1">SUM(D6:D13)</f>
        <v>189243.2</v>
      </c>
      <c r="E14" s="34">
        <f t="shared" si="1"/>
        <v>284210</v>
      </c>
      <c r="F14" s="34">
        <f t="shared" si="1"/>
        <v>351346.8</v>
      </c>
      <c r="G14" s="34">
        <f t="shared" si="1"/>
        <v>350067.52</v>
      </c>
      <c r="H14" s="34">
        <f t="shared" si="1"/>
        <v>670174.80000000005</v>
      </c>
      <c r="I14" s="34">
        <f t="shared" si="1"/>
        <v>0</v>
      </c>
      <c r="J14" s="34">
        <f t="shared" si="1"/>
        <v>0</v>
      </c>
      <c r="K14" s="34">
        <f t="shared" si="1"/>
        <v>0</v>
      </c>
      <c r="L14" s="34">
        <f t="shared" si="1"/>
        <v>0</v>
      </c>
      <c r="M14" s="34">
        <f t="shared" si="1"/>
        <v>0</v>
      </c>
      <c r="N14" s="34">
        <f t="shared" si="1"/>
        <v>0</v>
      </c>
      <c r="O14" s="34">
        <f t="shared" si="1"/>
        <v>0</v>
      </c>
      <c r="P14" s="35"/>
      <c r="Q14" s="36">
        <f>SUM(C14:O14)</f>
        <v>1855545.99</v>
      </c>
    </row>
    <row r="15" spans="2:17" ht="14.65" thickBot="1" x14ac:dyDescent="0.5"/>
    <row r="16" spans="2:17" ht="16.149999999999999" thickBot="1" x14ac:dyDescent="0.55000000000000004">
      <c r="B16" s="37" t="s">
        <v>15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62"/>
    </row>
    <row r="17" spans="2:17" x14ac:dyDescent="0.45">
      <c r="B17" s="39" t="s">
        <v>16</v>
      </c>
      <c r="C17" s="43"/>
      <c r="D17" s="43">
        <v>35.33</v>
      </c>
      <c r="E17" s="43"/>
      <c r="F17" s="43"/>
      <c r="G17" s="43">
        <v>1.1100000000000001</v>
      </c>
      <c r="H17" s="43"/>
      <c r="I17" s="43"/>
      <c r="J17" s="43"/>
      <c r="K17" s="43"/>
      <c r="L17" s="43"/>
      <c r="M17" s="43"/>
      <c r="N17" s="43"/>
      <c r="O17" s="43"/>
      <c r="P17" s="40"/>
      <c r="Q17" s="41">
        <f t="shared" ref="Q17:Q44" si="2">+SUM(C17:O17)</f>
        <v>36.44</v>
      </c>
    </row>
    <row r="18" spans="2:17" x14ac:dyDescent="0.45">
      <c r="B18" s="42" t="s">
        <v>17</v>
      </c>
      <c r="C18" s="43"/>
      <c r="D18" s="43">
        <v>38.54</v>
      </c>
      <c r="E18" s="43">
        <v>38.54</v>
      </c>
      <c r="F18" s="43">
        <v>38.54</v>
      </c>
      <c r="G18" s="43">
        <v>38.54</v>
      </c>
      <c r="H18" s="43">
        <v>38.54</v>
      </c>
      <c r="I18" s="43"/>
      <c r="J18" s="43"/>
      <c r="K18" s="43"/>
      <c r="L18" s="43"/>
      <c r="M18" s="43"/>
      <c r="N18" s="43"/>
      <c r="O18" s="43"/>
      <c r="P18" s="40"/>
      <c r="Q18" s="41">
        <f t="shared" si="2"/>
        <v>192.7</v>
      </c>
    </row>
    <row r="19" spans="2:17" x14ac:dyDescent="0.45">
      <c r="B19" s="42" t="s">
        <v>18</v>
      </c>
      <c r="C19" s="43"/>
      <c r="D19" s="43"/>
      <c r="E19" s="43"/>
      <c r="F19" s="43">
        <v>3402</v>
      </c>
      <c r="G19" s="43"/>
      <c r="H19" s="43">
        <f>1260+60</f>
        <v>1320</v>
      </c>
      <c r="I19" s="43"/>
      <c r="J19" s="43"/>
      <c r="K19" s="43"/>
      <c r="L19" s="43"/>
      <c r="M19" s="43"/>
      <c r="N19" s="43"/>
      <c r="O19" s="43"/>
      <c r="P19" s="40"/>
      <c r="Q19" s="41">
        <f t="shared" si="2"/>
        <v>4722</v>
      </c>
    </row>
    <row r="20" spans="2:17" x14ac:dyDescent="0.45">
      <c r="B20" s="42" t="s">
        <v>19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0"/>
      <c r="Q20" s="41">
        <f t="shared" si="2"/>
        <v>0</v>
      </c>
    </row>
    <row r="21" spans="2:17" x14ac:dyDescent="0.45">
      <c r="B21" s="42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0"/>
      <c r="Q21" s="41">
        <f t="shared" si="2"/>
        <v>0</v>
      </c>
    </row>
    <row r="22" spans="2:17" x14ac:dyDescent="0.45">
      <c r="B22" s="42" t="s">
        <v>21</v>
      </c>
      <c r="C22" s="43"/>
      <c r="D22" s="43">
        <v>108</v>
      </c>
      <c r="E22" s="43">
        <v>216</v>
      </c>
      <c r="F22" s="43">
        <f>216+324</f>
        <v>540</v>
      </c>
      <c r="G22" s="43"/>
      <c r="H22" s="43">
        <v>324</v>
      </c>
      <c r="I22" s="43"/>
      <c r="J22" s="43"/>
      <c r="K22" s="43"/>
      <c r="L22" s="43"/>
      <c r="M22" s="43"/>
      <c r="N22" s="43"/>
      <c r="O22" s="43"/>
      <c r="P22" s="40"/>
      <c r="Q22" s="41">
        <f t="shared" si="2"/>
        <v>1188</v>
      </c>
    </row>
    <row r="23" spans="2:17" x14ac:dyDescent="0.45"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7"/>
      <c r="P23" s="40"/>
      <c r="Q23" s="41">
        <f t="shared" si="2"/>
        <v>0</v>
      </c>
    </row>
    <row r="24" spans="2:17" x14ac:dyDescent="0.45">
      <c r="B24" s="44" t="s">
        <v>22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0"/>
      <c r="Q24" s="41">
        <f t="shared" si="2"/>
        <v>0</v>
      </c>
    </row>
    <row r="25" spans="2:17" x14ac:dyDescent="0.45">
      <c r="B25" s="45" t="s">
        <v>23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0"/>
      <c r="Q25" s="41">
        <f t="shared" si="2"/>
        <v>0</v>
      </c>
    </row>
    <row r="26" spans="2:17" x14ac:dyDescent="0.45">
      <c r="B26" s="45" t="s">
        <v>24</v>
      </c>
      <c r="C26" s="43"/>
      <c r="D26" s="43"/>
      <c r="E26" s="43">
        <v>6600</v>
      </c>
      <c r="F26" s="43">
        <v>6600</v>
      </c>
      <c r="G26" s="43"/>
      <c r="H26" s="43"/>
      <c r="I26" s="43"/>
      <c r="J26" s="43"/>
      <c r="K26" s="43"/>
      <c r="L26" s="43"/>
      <c r="M26" s="43"/>
      <c r="N26" s="43"/>
      <c r="O26" s="43"/>
      <c r="P26" s="40"/>
      <c r="Q26" s="41">
        <f t="shared" si="2"/>
        <v>13200</v>
      </c>
    </row>
    <row r="27" spans="2:17" ht="15" customHeight="1" x14ac:dyDescent="0.45">
      <c r="B27" s="45" t="s">
        <v>25</v>
      </c>
      <c r="C27" s="43"/>
      <c r="D27" s="43">
        <f>43.06+104.3+11.7+1.2+38.7+10.95+43.06</f>
        <v>252.96999999999997</v>
      </c>
      <c r="E27" s="43">
        <f>50.5+173+62+26.3+40.7+43+1.2+243+12.05</f>
        <v>651.75</v>
      </c>
      <c r="F27" s="43">
        <f>1.2+439+664+235.5</f>
        <v>1339.7</v>
      </c>
      <c r="G27" s="43">
        <f>55.37+1.2</f>
        <v>56.57</v>
      </c>
      <c r="H27" s="43">
        <f>53.82+7.16</f>
        <v>60.980000000000004</v>
      </c>
      <c r="I27" s="43"/>
      <c r="J27" s="43"/>
      <c r="K27" s="43"/>
      <c r="L27" s="43"/>
      <c r="M27" s="43"/>
      <c r="N27" s="43"/>
      <c r="O27" s="43"/>
      <c r="P27" s="40"/>
      <c r="Q27" s="41">
        <f t="shared" si="2"/>
        <v>2361.9700000000003</v>
      </c>
    </row>
    <row r="28" spans="2:17" ht="15" customHeight="1" x14ac:dyDescent="0.45">
      <c r="B28" s="21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0"/>
      <c r="Q28" s="41">
        <f t="shared" si="2"/>
        <v>0</v>
      </c>
    </row>
    <row r="29" spans="2:17" x14ac:dyDescent="0.45">
      <c r="B29" s="46" t="s">
        <v>26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0"/>
      <c r="Q29" s="41">
        <f t="shared" si="2"/>
        <v>0</v>
      </c>
    </row>
    <row r="30" spans="2:17" x14ac:dyDescent="0.45">
      <c r="B30" s="46" t="s">
        <v>27</v>
      </c>
      <c r="C30" s="43"/>
      <c r="D30" s="43"/>
      <c r="E30" s="43"/>
      <c r="F30" s="43"/>
      <c r="G30" s="43"/>
      <c r="H30" s="43">
        <v>28803</v>
      </c>
      <c r="I30" s="43"/>
      <c r="J30" s="43"/>
      <c r="K30" s="43"/>
      <c r="L30" s="43"/>
      <c r="M30" s="43"/>
      <c r="N30" s="43"/>
      <c r="O30" s="43"/>
      <c r="P30" s="40"/>
      <c r="Q30" s="41">
        <f t="shared" si="2"/>
        <v>28803</v>
      </c>
    </row>
    <row r="31" spans="2:17" x14ac:dyDescent="0.45">
      <c r="B31" s="46" t="s">
        <v>28</v>
      </c>
      <c r="C31" s="43"/>
      <c r="D31" s="43"/>
      <c r="E31" s="43">
        <f>3900+6600</f>
        <v>10500</v>
      </c>
      <c r="F31" s="43">
        <f>2352+8550+13728+6600+12000</f>
        <v>43230</v>
      </c>
      <c r="G31" s="43">
        <f>9675+13728+12000+840+6600+1629.6+3500+6116.2</f>
        <v>54088.799999999996</v>
      </c>
      <c r="H31" s="43">
        <f>97794+75806.4</f>
        <v>173600.4</v>
      </c>
      <c r="I31" s="43"/>
      <c r="J31" s="43"/>
      <c r="K31" s="43"/>
      <c r="L31" s="43"/>
      <c r="M31" s="43"/>
      <c r="N31" s="43"/>
      <c r="O31" s="43"/>
      <c r="P31" s="40"/>
      <c r="Q31" s="41">
        <f t="shared" si="2"/>
        <v>281419.19999999995</v>
      </c>
    </row>
    <row r="32" spans="2:17" x14ac:dyDescent="0.45">
      <c r="B32" s="21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0"/>
      <c r="Q32" s="41">
        <f t="shared" si="2"/>
        <v>0</v>
      </c>
    </row>
    <row r="33" spans="2:17" x14ac:dyDescent="0.45">
      <c r="B33" s="47" t="s">
        <v>29</v>
      </c>
      <c r="C33" s="43"/>
      <c r="D33" s="43">
        <f>5393.45+6963.42+3603.05+3845.76+4748.71+4800.83+4588.27+2682.2+4198.99+5330.69+4953.25+4540.36+5793.2+5737.17+5210.66+4871.86+5603.31+5622.89+5371.28+4740.09+4975.84+5889.62+4938.15+6612.4+4856.96</f>
        <v>125872.40999999999</v>
      </c>
      <c r="E33" s="43">
        <f>4740.09+4856.96+5889.62+4938.15+4975.84+6612.4+5371.28+3973.24+3724.6+6025.8+4996.03+2281.82+5393.45+3845.76+5055.27+4800.83+5737.17+5622.89+4198.99+4953.25+4544.7+5603.31+5330.69+5793.2+6962.33+5093.08+4841.69+4507.46+262.04+527.68+5217.98</f>
        <v>146677.6</v>
      </c>
      <c r="F33" s="43">
        <f>6962.33+5393.45+3973.24+3845.76+5093.08+5055.27+6025.8+4740.09+4800.83+4841.69+4856.96+5889.62+5622.89+4996.03+4938.15+5217.98+4198.99+6612.4+4953.25+4507.46+5371.28+5603.31+5330.69+5793.2+2535.12+4727.68+6072.82+3883.63+4592.51+4598.44+5457.37+5680.68+4846.9+1931.4+6227.2</f>
        <v>175177.5</v>
      </c>
      <c r="G33" s="43">
        <f>5393.45+4727.68+5093.08+5055.27+4800.83+4740.09+4841.69+4856.96+5889.62+5622.89+4996.03+4938.15+4198.99+6612.4+4953.25+4507.46+4598.44+5457.37+5371.28+5603.31+5330.69+5680.68+4846.9+1931.4+5793.2+2425.58+5962.33+5503.4+4529.47+2739.21+3890.93+5681.23+5524.33+5488.5+5307.33+7098.73</f>
        <v>179992.14999999997</v>
      </c>
      <c r="H33" s="77">
        <v>188271</v>
      </c>
      <c r="I33" s="43"/>
      <c r="J33" s="43"/>
      <c r="K33" s="43"/>
      <c r="L33" s="43"/>
      <c r="M33" s="43"/>
      <c r="N33" s="43"/>
      <c r="O33" s="43"/>
      <c r="P33" s="40"/>
      <c r="Q33" s="41">
        <f t="shared" si="2"/>
        <v>815990.65999999992</v>
      </c>
    </row>
    <row r="34" spans="2:17" x14ac:dyDescent="0.45">
      <c r="B34" s="48" t="s">
        <v>30</v>
      </c>
      <c r="C34" s="43"/>
      <c r="D34" s="43"/>
      <c r="E34" s="43">
        <f>474.88+480.49+592.03+171.86+398.2+981.2+534.82+358.4+457.84+771.66+193.56</f>
        <v>5414.9400000000005</v>
      </c>
      <c r="F34" s="43">
        <f>597+440.8+500.52+118.98+248.14+568.6+313+118.98+384+892+301.71+586.2+649.54+358.4+338.56+720+671.55+491.92+553.17+279.33+308.82+291.7+592.03+892+212.2+158.64+384+372.9+610.51+710.6+345.48+474.88</f>
        <v>14486.16</v>
      </c>
      <c r="G34" s="43"/>
      <c r="H34" s="43"/>
      <c r="I34" s="43"/>
      <c r="J34" s="43"/>
      <c r="K34" s="43"/>
      <c r="L34" s="43"/>
      <c r="M34" s="43"/>
      <c r="N34" s="43"/>
      <c r="O34" s="43"/>
      <c r="P34" s="40"/>
      <c r="Q34" s="41">
        <f t="shared" si="2"/>
        <v>19901.099999999999</v>
      </c>
    </row>
    <row r="35" spans="2:17" x14ac:dyDescent="0.45">
      <c r="B35" s="48" t="s">
        <v>31</v>
      </c>
      <c r="C35" s="43"/>
      <c r="D35" s="43"/>
      <c r="E35" s="43">
        <v>6000</v>
      </c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0"/>
      <c r="Q35" s="41">
        <f t="shared" si="2"/>
        <v>6000</v>
      </c>
    </row>
    <row r="36" spans="2:17" x14ac:dyDescent="0.45">
      <c r="B36" s="48" t="s">
        <v>32</v>
      </c>
      <c r="C36" s="43"/>
      <c r="D36" s="43">
        <f>781.25+253.06+1528+1199.99+39.98+1479+25</f>
        <v>5306.2800000000007</v>
      </c>
      <c r="E36" s="43">
        <f>1609+1609+1990</f>
        <v>5208</v>
      </c>
      <c r="F36" s="43">
        <f>118.8+15+55.2+1179+583.2+31.83</f>
        <v>1983.03</v>
      </c>
      <c r="G36" s="43">
        <f>104.6+3945.73</f>
        <v>4050.33</v>
      </c>
      <c r="H36" s="43"/>
      <c r="I36" s="43"/>
      <c r="J36" s="43"/>
      <c r="K36" s="43"/>
      <c r="L36" s="43"/>
      <c r="M36" s="43"/>
      <c r="N36" s="43"/>
      <c r="O36" s="43"/>
      <c r="P36" s="40"/>
      <c r="Q36" s="41">
        <f t="shared" si="2"/>
        <v>16547.64</v>
      </c>
    </row>
    <row r="37" spans="2:17" x14ac:dyDescent="0.45">
      <c r="B37" s="48" t="s">
        <v>33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0"/>
      <c r="Q37" s="41">
        <f t="shared" si="2"/>
        <v>0</v>
      </c>
    </row>
    <row r="38" spans="2:17" x14ac:dyDescent="0.45">
      <c r="B38" s="48" t="s">
        <v>34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0"/>
      <c r="Q38" s="41">
        <f t="shared" si="2"/>
        <v>0</v>
      </c>
    </row>
    <row r="39" spans="2:17" x14ac:dyDescent="0.45">
      <c r="B39" s="49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0"/>
      <c r="Q39" s="41">
        <f t="shared" si="2"/>
        <v>0</v>
      </c>
    </row>
    <row r="40" spans="2:17" x14ac:dyDescent="0.45">
      <c r="B40" s="50" t="s">
        <v>35</v>
      </c>
      <c r="C40" s="43"/>
      <c r="D40" s="43">
        <v>28761</v>
      </c>
      <c r="E40" s="43">
        <v>54110</v>
      </c>
      <c r="F40" s="43">
        <v>63309</v>
      </c>
      <c r="G40" s="43">
        <v>74800</v>
      </c>
      <c r="H40" s="77">
        <v>78001</v>
      </c>
      <c r="I40" s="43"/>
      <c r="J40" s="43"/>
      <c r="K40" s="43"/>
      <c r="L40" s="43"/>
      <c r="M40" s="43"/>
      <c r="N40" s="43"/>
      <c r="O40" s="43"/>
      <c r="P40" s="40"/>
      <c r="Q40" s="41">
        <f t="shared" si="2"/>
        <v>298981</v>
      </c>
    </row>
    <row r="41" spans="2:17" x14ac:dyDescent="0.45">
      <c r="B41" s="51" t="s">
        <v>36</v>
      </c>
      <c r="C41" s="43"/>
      <c r="D41" s="43">
        <f>1277.47+6157.76+11138.54</f>
        <v>18573.77</v>
      </c>
      <c r="E41" s="43"/>
      <c r="F41" s="43"/>
      <c r="G41" s="43">
        <f>23275.27+19960.77+27554.87</f>
        <v>70790.91</v>
      </c>
      <c r="H41" s="77">
        <v>28854</v>
      </c>
      <c r="I41" s="43"/>
      <c r="J41" s="43"/>
      <c r="K41" s="43"/>
      <c r="L41" s="43"/>
      <c r="M41" s="43"/>
      <c r="N41" s="43"/>
      <c r="O41" s="43"/>
      <c r="P41" s="40"/>
      <c r="Q41" s="41">
        <f t="shared" si="2"/>
        <v>118218.68000000001</v>
      </c>
    </row>
    <row r="42" spans="2:17" x14ac:dyDescent="0.45">
      <c r="B42" s="51" t="s">
        <v>37</v>
      </c>
      <c r="C42" s="43"/>
      <c r="D42" s="43"/>
      <c r="E42" s="43">
        <v>1568.6</v>
      </c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0"/>
      <c r="Q42" s="41">
        <f t="shared" si="2"/>
        <v>1568.6</v>
      </c>
    </row>
    <row r="43" spans="2:17" x14ac:dyDescent="0.45">
      <c r="B43" s="51" t="s">
        <v>38</v>
      </c>
      <c r="C43" s="43"/>
      <c r="D43" s="43">
        <v>1597.65</v>
      </c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0"/>
      <c r="Q43" s="41">
        <f t="shared" si="2"/>
        <v>1597.65</v>
      </c>
    </row>
    <row r="44" spans="2:17" ht="14.65" thickBot="1" x14ac:dyDescent="0.5">
      <c r="B44" s="51" t="s">
        <v>39</v>
      </c>
      <c r="C44" s="43"/>
      <c r="D44" s="43">
        <v>4576</v>
      </c>
      <c r="E44" s="43">
        <v>8270</v>
      </c>
      <c r="F44" s="43">
        <v>9325</v>
      </c>
      <c r="G44" s="43">
        <f>9753</f>
        <v>9753</v>
      </c>
      <c r="H44" s="77">
        <v>11236</v>
      </c>
      <c r="I44" s="43"/>
      <c r="J44" s="43"/>
      <c r="K44" s="43"/>
      <c r="L44" s="43"/>
      <c r="M44" s="43"/>
      <c r="N44" s="43"/>
      <c r="O44" s="43"/>
      <c r="P44" s="40"/>
      <c r="Q44" s="41">
        <f t="shared" si="2"/>
        <v>43160</v>
      </c>
    </row>
    <row r="45" spans="2:17" ht="16.149999999999999" thickBot="1" x14ac:dyDescent="0.55000000000000004">
      <c r="B45" s="52" t="s">
        <v>40</v>
      </c>
      <c r="C45" s="53">
        <f>+SUM(C17:C44)</f>
        <v>0</v>
      </c>
      <c r="D45" s="53">
        <f t="shared" ref="D45:O45" si="3">+SUM(D17:D44)</f>
        <v>185121.94999999998</v>
      </c>
      <c r="E45" s="53">
        <f t="shared" si="3"/>
        <v>245255.43000000002</v>
      </c>
      <c r="F45" s="53">
        <f t="shared" si="3"/>
        <v>319430.93</v>
      </c>
      <c r="G45" s="53">
        <f t="shared" si="3"/>
        <v>393571.40999999992</v>
      </c>
      <c r="H45" s="53">
        <f t="shared" si="3"/>
        <v>510508.92</v>
      </c>
      <c r="I45" s="53">
        <f t="shared" si="3"/>
        <v>0</v>
      </c>
      <c r="J45" s="53">
        <f t="shared" si="3"/>
        <v>0</v>
      </c>
      <c r="K45" s="53">
        <f t="shared" si="3"/>
        <v>0</v>
      </c>
      <c r="L45" s="53">
        <f t="shared" si="3"/>
        <v>0</v>
      </c>
      <c r="M45" s="53">
        <f t="shared" si="3"/>
        <v>0</v>
      </c>
      <c r="N45" s="53">
        <f t="shared" si="3"/>
        <v>0</v>
      </c>
      <c r="O45" s="53">
        <f t="shared" si="3"/>
        <v>0</v>
      </c>
      <c r="P45" s="54"/>
      <c r="Q45" s="55">
        <f>+SUM(C45:O45)</f>
        <v>1653888.64</v>
      </c>
    </row>
    <row r="46" spans="2:17" ht="14.65" thickBot="1" x14ac:dyDescent="0.5">
      <c r="B46" s="56"/>
      <c r="C46" s="57"/>
      <c r="D46" s="57"/>
      <c r="E46" s="57"/>
      <c r="F46" s="57"/>
      <c r="G46" s="57"/>
      <c r="H46" s="57"/>
      <c r="I46" s="57"/>
      <c r="J46" s="57"/>
      <c r="K46" s="57"/>
      <c r="M46" s="57"/>
      <c r="N46" s="57"/>
      <c r="P46" s="40"/>
    </row>
    <row r="47" spans="2:17" ht="15.75" x14ac:dyDescent="0.5">
      <c r="B47" s="63" t="s">
        <v>41</v>
      </c>
      <c r="C47" s="58">
        <f>C14-C45</f>
        <v>10503.67</v>
      </c>
      <c r="D47" s="58">
        <f t="shared" ref="D47:O47" si="4">D14-D45</f>
        <v>4121.2500000000291</v>
      </c>
      <c r="E47" s="58">
        <f t="shared" si="4"/>
        <v>38954.569999999978</v>
      </c>
      <c r="F47" s="58">
        <f t="shared" si="4"/>
        <v>31915.869999999995</v>
      </c>
      <c r="G47" s="58">
        <f t="shared" si="4"/>
        <v>-43503.889999999898</v>
      </c>
      <c r="H47" s="58">
        <f t="shared" si="4"/>
        <v>159665.88000000006</v>
      </c>
      <c r="I47" s="58">
        <f t="shared" si="4"/>
        <v>0</v>
      </c>
      <c r="J47" s="58">
        <f t="shared" si="4"/>
        <v>0</v>
      </c>
      <c r="K47" s="58">
        <f t="shared" si="4"/>
        <v>0</v>
      </c>
      <c r="L47" s="58">
        <f t="shared" si="4"/>
        <v>0</v>
      </c>
      <c r="M47" s="58">
        <f t="shared" si="4"/>
        <v>0</v>
      </c>
      <c r="N47" s="58">
        <f t="shared" si="4"/>
        <v>0</v>
      </c>
      <c r="O47" s="58">
        <f t="shared" si="4"/>
        <v>0</v>
      </c>
      <c r="P47" s="59"/>
      <c r="Q47" s="60">
        <f>Q14-Q45</f>
        <v>201657.35000000009</v>
      </c>
    </row>
    <row r="48" spans="2:17" ht="16.149999999999999" thickBot="1" x14ac:dyDescent="0.55000000000000004">
      <c r="B48" s="64" t="s">
        <v>42</v>
      </c>
      <c r="C48" s="58">
        <f>C47</f>
        <v>10503.67</v>
      </c>
      <c r="D48" s="58">
        <f>C48+D47</f>
        <v>14624.920000000029</v>
      </c>
      <c r="E48" s="58">
        <f t="shared" ref="E48:O48" si="5">D48+E47</f>
        <v>53579.490000000005</v>
      </c>
      <c r="F48" s="58">
        <f t="shared" si="5"/>
        <v>85495.360000000001</v>
      </c>
      <c r="G48" s="58">
        <f t="shared" si="5"/>
        <v>41991.470000000103</v>
      </c>
      <c r="H48" s="58">
        <f t="shared" si="5"/>
        <v>201657.35000000015</v>
      </c>
      <c r="I48" s="58">
        <f t="shared" si="5"/>
        <v>201657.35000000015</v>
      </c>
      <c r="J48" s="58">
        <f t="shared" si="5"/>
        <v>201657.35000000015</v>
      </c>
      <c r="K48" s="58">
        <f t="shared" si="5"/>
        <v>201657.35000000015</v>
      </c>
      <c r="L48" s="58">
        <f t="shared" si="5"/>
        <v>201657.35000000015</v>
      </c>
      <c r="M48" s="58">
        <f t="shared" si="5"/>
        <v>201657.35000000015</v>
      </c>
      <c r="N48" s="58">
        <f t="shared" si="5"/>
        <v>201657.35000000015</v>
      </c>
      <c r="O48" s="58">
        <f t="shared" si="5"/>
        <v>201657.35000000015</v>
      </c>
      <c r="P48" s="59"/>
      <c r="Q48" s="60"/>
    </row>
  </sheetData>
  <mergeCells count="1">
    <mergeCell ref="B2:C3"/>
  </mergeCells>
  <conditionalFormatting sqref="C47:Q48">
    <cfRule type="cellIs" dxfId="27" priority="1" operator="lessThan">
      <formula>0</formula>
    </cfRule>
    <cfRule type="cellIs" dxfId="26" priority="2" operator="greaterThan">
      <formula>0</formula>
    </cfRule>
  </conditionalFormatting>
  <conditionalFormatting sqref="Q45">
    <cfRule type="cellIs" dxfId="25" priority="3" operator="greaterThan">
      <formula>0</formula>
    </cfRule>
    <cfRule type="cellIs" dxfId="24" priority="4" operator="less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C3B9C-A297-4543-96CB-67FA4B30857B}">
  <dimension ref="B1:Q48"/>
  <sheetViews>
    <sheetView topLeftCell="A17" workbookViewId="0">
      <selection activeCell="H40" sqref="H40"/>
    </sheetView>
  </sheetViews>
  <sheetFormatPr baseColWidth="10" defaultColWidth="9.1328125" defaultRowHeight="14.25" x14ac:dyDescent="0.45"/>
  <cols>
    <col min="1" max="1" width="4.1328125" style="3" customWidth="1"/>
    <col min="2" max="2" width="37.1328125" style="3" bestFit="1" customWidth="1"/>
    <col min="3" max="3" width="16.53125" style="2" customWidth="1"/>
    <col min="4" max="4" width="16.46484375" style="2" customWidth="1"/>
    <col min="5" max="9" width="16.53125" style="2" customWidth="1"/>
    <col min="10" max="11" width="16.46484375" style="2" bestFit="1" customWidth="1"/>
    <col min="12" max="15" width="15.19921875" style="2" bestFit="1" customWidth="1"/>
    <col min="16" max="16" width="0.33203125" customWidth="1"/>
    <col min="17" max="17" width="15.46484375" style="2" bestFit="1" customWidth="1"/>
    <col min="18" max="16384" width="9.1328125" style="3"/>
  </cols>
  <sheetData>
    <row r="1" spans="2:17" x14ac:dyDescent="0.45">
      <c r="B1" s="71" t="s">
        <v>58</v>
      </c>
    </row>
    <row r="2" spans="2:17" ht="18" x14ac:dyDescent="0.45">
      <c r="B2" s="79" t="s">
        <v>43</v>
      </c>
      <c r="C2" s="79"/>
      <c r="D2" s="1">
        <f t="shared" ref="D2:O2" si="0">+D48</f>
        <v>14624.920000000029</v>
      </c>
      <c r="E2" s="1">
        <f t="shared" si="0"/>
        <v>53579.490000000005</v>
      </c>
      <c r="F2" s="1">
        <f t="shared" si="0"/>
        <v>85495.360000000001</v>
      </c>
      <c r="G2" s="1">
        <f t="shared" si="0"/>
        <v>41991.470000000103</v>
      </c>
      <c r="H2" s="1">
        <f t="shared" si="0"/>
        <v>85623.680000000182</v>
      </c>
      <c r="I2" s="1">
        <f t="shared" si="0"/>
        <v>353279.19000000018</v>
      </c>
      <c r="J2" s="1">
        <f t="shared" si="0"/>
        <v>353279.19000000018</v>
      </c>
      <c r="K2" s="1">
        <f t="shared" si="0"/>
        <v>353279.19000000018</v>
      </c>
      <c r="L2" s="1">
        <f t="shared" si="0"/>
        <v>353279.19000000018</v>
      </c>
      <c r="M2" s="1">
        <f t="shared" si="0"/>
        <v>353279.19000000018</v>
      </c>
      <c r="N2" s="1">
        <f t="shared" si="0"/>
        <v>353279.19000000018</v>
      </c>
      <c r="O2" s="1">
        <f t="shared" si="0"/>
        <v>353279.19000000018</v>
      </c>
      <c r="P2" s="2">
        <f>P48</f>
        <v>0</v>
      </c>
    </row>
    <row r="3" spans="2:17" ht="28.9" thickBot="1" x14ac:dyDescent="0.5">
      <c r="B3" s="80"/>
      <c r="C3" s="80"/>
      <c r="D3" s="61"/>
      <c r="E3" s="61"/>
      <c r="F3" s="61"/>
      <c r="G3" s="61"/>
      <c r="H3" s="61"/>
      <c r="I3" s="61"/>
    </row>
    <row r="4" spans="2:17" s="10" customFormat="1" ht="16.149999999999999" thickBot="1" x14ac:dyDescent="0.5">
      <c r="B4" s="4" t="s">
        <v>0</v>
      </c>
      <c r="C4" s="5" t="s">
        <v>1</v>
      </c>
      <c r="D4" s="5" t="s">
        <v>44</v>
      </c>
      <c r="E4" s="5" t="s">
        <v>45</v>
      </c>
      <c r="F4" s="5" t="s">
        <v>46</v>
      </c>
      <c r="G4" s="5" t="s">
        <v>47</v>
      </c>
      <c r="H4" s="5" t="s">
        <v>48</v>
      </c>
      <c r="I4" s="5" t="s">
        <v>49</v>
      </c>
      <c r="J4" s="6" t="s">
        <v>50</v>
      </c>
      <c r="K4" s="6" t="s">
        <v>51</v>
      </c>
      <c r="L4" s="7" t="s">
        <v>52</v>
      </c>
      <c r="M4" s="6" t="s">
        <v>2</v>
      </c>
      <c r="N4" s="6" t="s">
        <v>3</v>
      </c>
      <c r="O4" s="7" t="s">
        <v>4</v>
      </c>
      <c r="P4" s="8"/>
      <c r="Q4" s="9" t="s">
        <v>5</v>
      </c>
    </row>
    <row r="5" spans="2:17" ht="16.149999999999999" thickBot="1" x14ac:dyDescent="0.55000000000000004">
      <c r="B5" s="11" t="s">
        <v>6</v>
      </c>
      <c r="C5" s="12"/>
      <c r="D5" s="12"/>
      <c r="E5" s="12"/>
      <c r="F5" s="12"/>
      <c r="G5" s="12"/>
      <c r="H5" s="12"/>
      <c r="I5" s="12"/>
      <c r="J5" s="12"/>
      <c r="K5" s="12"/>
      <c r="L5" s="13"/>
      <c r="M5" s="12"/>
      <c r="N5" s="12"/>
      <c r="O5" s="13"/>
      <c r="P5" s="14"/>
      <c r="Q5" s="15"/>
    </row>
    <row r="6" spans="2:17" x14ac:dyDescent="0.45">
      <c r="B6" s="16" t="s">
        <v>7</v>
      </c>
      <c r="C6" s="17">
        <v>10503.67</v>
      </c>
      <c r="D6" s="17"/>
      <c r="E6" s="18"/>
      <c r="F6" s="17"/>
      <c r="G6" s="17"/>
      <c r="H6" s="18"/>
      <c r="I6" s="17"/>
      <c r="J6" s="17"/>
      <c r="K6" s="17"/>
      <c r="L6" s="18"/>
      <c r="M6" s="17"/>
      <c r="N6" s="17"/>
      <c r="O6" s="18"/>
      <c r="P6" s="19"/>
      <c r="Q6" s="20">
        <f>SUM(C6:O6)</f>
        <v>10503.67</v>
      </c>
    </row>
    <row r="7" spans="2:17" x14ac:dyDescent="0.45">
      <c r="B7" s="21" t="s">
        <v>8</v>
      </c>
      <c r="C7" s="22"/>
      <c r="D7" s="22"/>
      <c r="E7" s="23"/>
      <c r="F7" s="22"/>
      <c r="G7" s="22"/>
      <c r="H7" s="23"/>
      <c r="I7" s="22"/>
      <c r="J7" s="22"/>
      <c r="K7" s="22"/>
      <c r="L7" s="23"/>
      <c r="M7" s="22"/>
      <c r="N7" s="22"/>
      <c r="O7" s="23"/>
      <c r="P7" s="19"/>
      <c r="Q7" s="24">
        <f>SUM(C7:O7)</f>
        <v>0</v>
      </c>
    </row>
    <row r="8" spans="2:17" x14ac:dyDescent="0.45">
      <c r="B8" s="21" t="s">
        <v>9</v>
      </c>
      <c r="C8" s="22"/>
      <c r="D8" s="22">
        <v>50000</v>
      </c>
      <c r="E8" s="23">
        <v>50000</v>
      </c>
      <c r="F8" s="22"/>
      <c r="G8" s="22"/>
      <c r="H8" s="23"/>
      <c r="I8" s="22"/>
      <c r="J8" s="22"/>
      <c r="K8" s="22"/>
      <c r="L8" s="23"/>
      <c r="M8" s="22"/>
      <c r="N8" s="22"/>
      <c r="O8" s="23"/>
      <c r="P8" s="19"/>
      <c r="Q8" s="24">
        <f>SUM(C8:O8)</f>
        <v>100000</v>
      </c>
    </row>
    <row r="9" spans="2:17" ht="15" customHeight="1" x14ac:dyDescent="0.45">
      <c r="B9" s="25" t="s">
        <v>10</v>
      </c>
      <c r="C9" s="26"/>
      <c r="D9" s="26"/>
      <c r="E9" s="27"/>
      <c r="F9" s="26"/>
      <c r="G9" s="26"/>
      <c r="H9" s="27"/>
      <c r="I9" s="26"/>
      <c r="J9" s="26"/>
      <c r="K9" s="26"/>
      <c r="L9" s="27"/>
      <c r="M9" s="26"/>
      <c r="N9" s="26"/>
      <c r="O9" s="27"/>
      <c r="P9" s="19"/>
      <c r="Q9" s="28">
        <f>SUM(C9:O9)</f>
        <v>0</v>
      </c>
    </row>
    <row r="10" spans="2:17" ht="1.5" customHeight="1" x14ac:dyDescent="0.45">
      <c r="B10" s="29"/>
      <c r="C10" s="30"/>
      <c r="D10" s="30"/>
      <c r="E10" s="31"/>
      <c r="F10" s="30"/>
      <c r="G10" s="30"/>
      <c r="H10" s="31"/>
      <c r="I10" s="30"/>
      <c r="J10" s="30"/>
      <c r="K10" s="30"/>
      <c r="L10" s="31"/>
      <c r="M10" s="30"/>
      <c r="N10" s="30"/>
      <c r="O10" s="31"/>
      <c r="P10" s="19"/>
      <c r="Q10" s="32"/>
    </row>
    <row r="11" spans="2:17" x14ac:dyDescent="0.45">
      <c r="B11" s="16" t="s">
        <v>11</v>
      </c>
      <c r="C11" s="17"/>
      <c r="D11" s="17">
        <f>4345.2+3744+12642+14520+12672+13728+11760+13680+2160+10800+11832+8268+11040+8052</f>
        <v>139243.20000000001</v>
      </c>
      <c r="E11" s="18">
        <f>11760+15840+15048+13728+15552+6960+10944+12642+9900+11880+13464+14784+13200+12480+6600+2100+8052+12720+10716+15840</f>
        <v>234210</v>
      </c>
      <c r="F11" s="17">
        <f>12936+12144+14520+15312+11880+5280+12000+13728+15312+10752+12600+25176+840+14706+10836+21090+12240+14784+982.8+15600+11880+6624+12600+11280+11400+11040+1260+13920+6000+11232+1392</f>
        <v>351346.8</v>
      </c>
      <c r="G11" s="17">
        <f>10800+125.52+13860+12720+600+12852+15600+11880+6600+10656+11760+13920+12480+14040+6588+20766+11556+14400+11400+7224+14400+10080+10584+10800+14256+14400+23184+12972+12000+6900</f>
        <v>349403.52</v>
      </c>
      <c r="H11" s="18">
        <f>12420+10080+12600+6900+4752+16146+15840+11136+11040+12000+6600+15180+13200+11520+14352+12054+13338+14628+11832+14352+15312+11628+12348+1651.2+7080+17940+840+14766+8052+2232+11352+15456+12960+16560+14076+9000+15120+10800+1440+12000+6600+11592+5700+10830</f>
        <v>485305.2</v>
      </c>
      <c r="I11" s="17">
        <v>449611.8</v>
      </c>
      <c r="J11" s="17"/>
      <c r="K11" s="17"/>
      <c r="L11" s="18"/>
      <c r="M11" s="17"/>
      <c r="N11" s="17"/>
      <c r="O11" s="18"/>
      <c r="P11" s="19"/>
      <c r="Q11" s="20">
        <f>SUM(C11:O11)</f>
        <v>2009120.52</v>
      </c>
    </row>
    <row r="12" spans="2:17" x14ac:dyDescent="0.45">
      <c r="B12" s="16" t="s">
        <v>12</v>
      </c>
      <c r="C12" s="17"/>
      <c r="D12" s="17"/>
      <c r="E12" s="18"/>
      <c r="F12" s="17"/>
      <c r="G12" s="17">
        <v>664</v>
      </c>
      <c r="H12" s="18"/>
      <c r="I12" s="17"/>
      <c r="J12" s="17"/>
      <c r="K12" s="17"/>
      <c r="L12" s="18"/>
      <c r="M12" s="17"/>
      <c r="N12" s="17"/>
      <c r="O12" s="18"/>
      <c r="P12" s="19"/>
      <c r="Q12" s="20">
        <f>SUM(C12:O12)</f>
        <v>664</v>
      </c>
    </row>
    <row r="13" spans="2:17" ht="14.65" thickBot="1" x14ac:dyDescent="0.5">
      <c r="B13" s="21" t="s">
        <v>13</v>
      </c>
      <c r="C13" s="22"/>
      <c r="D13" s="22"/>
      <c r="E13" s="23"/>
      <c r="F13" s="22"/>
      <c r="G13" s="22"/>
      <c r="H13" s="23"/>
      <c r="I13" s="22"/>
      <c r="J13" s="22"/>
      <c r="K13" s="22"/>
      <c r="L13" s="23"/>
      <c r="M13" s="22"/>
      <c r="N13" s="22"/>
      <c r="O13" s="23"/>
      <c r="P13" s="19"/>
      <c r="Q13" s="24">
        <f>SUM(C13:O13)</f>
        <v>0</v>
      </c>
    </row>
    <row r="14" spans="2:17" s="10" customFormat="1" ht="16.149999999999999" thickBot="1" x14ac:dyDescent="0.5">
      <c r="B14" s="33" t="s">
        <v>14</v>
      </c>
      <c r="C14" s="34">
        <f>SUM(C6:C13)</f>
        <v>10503.67</v>
      </c>
      <c r="D14" s="34">
        <f t="shared" ref="D14:O14" si="1">SUM(D6:D13)</f>
        <v>189243.2</v>
      </c>
      <c r="E14" s="34">
        <f t="shared" si="1"/>
        <v>284210</v>
      </c>
      <c r="F14" s="34">
        <f t="shared" si="1"/>
        <v>351346.8</v>
      </c>
      <c r="G14" s="34">
        <f t="shared" si="1"/>
        <v>350067.52</v>
      </c>
      <c r="H14" s="34">
        <f t="shared" si="1"/>
        <v>485305.2</v>
      </c>
      <c r="I14" s="34">
        <f t="shared" si="1"/>
        <v>449611.8</v>
      </c>
      <c r="J14" s="34">
        <f t="shared" si="1"/>
        <v>0</v>
      </c>
      <c r="K14" s="34">
        <f t="shared" si="1"/>
        <v>0</v>
      </c>
      <c r="L14" s="34">
        <f t="shared" si="1"/>
        <v>0</v>
      </c>
      <c r="M14" s="34">
        <f t="shared" si="1"/>
        <v>0</v>
      </c>
      <c r="N14" s="34">
        <f t="shared" si="1"/>
        <v>0</v>
      </c>
      <c r="O14" s="34">
        <f t="shared" si="1"/>
        <v>0</v>
      </c>
      <c r="P14" s="35"/>
      <c r="Q14" s="36">
        <f>SUM(C14:O14)</f>
        <v>2120288.19</v>
      </c>
    </row>
    <row r="15" spans="2:17" ht="14.65" thickBot="1" x14ac:dyDescent="0.5"/>
    <row r="16" spans="2:17" ht="16.149999999999999" thickBot="1" x14ac:dyDescent="0.55000000000000004">
      <c r="B16" s="37" t="s">
        <v>15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62"/>
    </row>
    <row r="17" spans="2:17" x14ac:dyDescent="0.45">
      <c r="B17" s="39" t="s">
        <v>16</v>
      </c>
      <c r="C17" s="43"/>
      <c r="D17" s="43">
        <v>35.33</v>
      </c>
      <c r="E17" s="43"/>
      <c r="F17" s="43"/>
      <c r="G17" s="43">
        <v>1.1100000000000001</v>
      </c>
      <c r="H17" s="43">
        <f>968+0.3+0.3+0.3+0.3+(0.3*25)+0.3+0.3+0.3</f>
        <v>977.59999999999968</v>
      </c>
      <c r="I17" s="43"/>
      <c r="J17" s="43"/>
      <c r="K17" s="43"/>
      <c r="L17" s="43"/>
      <c r="M17" s="43"/>
      <c r="N17" s="43"/>
      <c r="O17" s="43"/>
      <c r="P17" s="40"/>
      <c r="Q17" s="41">
        <f t="shared" ref="Q17:Q44" si="2">+SUM(C17:O17)</f>
        <v>1014.0399999999997</v>
      </c>
    </row>
    <row r="18" spans="2:17" x14ac:dyDescent="0.45">
      <c r="B18" s="42" t="s">
        <v>17</v>
      </c>
      <c r="C18" s="43"/>
      <c r="D18" s="43">
        <v>38.54</v>
      </c>
      <c r="E18" s="43">
        <v>38.54</v>
      </c>
      <c r="F18" s="43">
        <v>38.54</v>
      </c>
      <c r="G18" s="43">
        <v>38.54</v>
      </c>
      <c r="H18" s="43">
        <v>38.54</v>
      </c>
      <c r="I18" s="43"/>
      <c r="J18" s="43"/>
      <c r="K18" s="43"/>
      <c r="L18" s="43"/>
      <c r="M18" s="43"/>
      <c r="N18" s="43"/>
      <c r="O18" s="43"/>
      <c r="P18" s="40"/>
      <c r="Q18" s="41">
        <f t="shared" si="2"/>
        <v>192.7</v>
      </c>
    </row>
    <row r="19" spans="2:17" x14ac:dyDescent="0.45">
      <c r="B19" s="42" t="s">
        <v>18</v>
      </c>
      <c r="C19" s="43"/>
      <c r="D19" s="43"/>
      <c r="E19" s="43"/>
      <c r="F19" s="43">
        <v>3402</v>
      </c>
      <c r="G19" s="43"/>
      <c r="H19" s="43">
        <f>1260+60+252</f>
        <v>1572</v>
      </c>
      <c r="I19" s="43"/>
      <c r="J19" s="43"/>
      <c r="K19" s="43"/>
      <c r="L19" s="43"/>
      <c r="M19" s="43"/>
      <c r="N19" s="43"/>
      <c r="O19" s="43"/>
      <c r="P19" s="40"/>
      <c r="Q19" s="41">
        <f t="shared" si="2"/>
        <v>4974</v>
      </c>
    </row>
    <row r="20" spans="2:17" x14ac:dyDescent="0.45">
      <c r="B20" s="42" t="s">
        <v>19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0"/>
      <c r="Q20" s="41">
        <f t="shared" si="2"/>
        <v>0</v>
      </c>
    </row>
    <row r="21" spans="2:17" x14ac:dyDescent="0.45">
      <c r="B21" s="42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0"/>
      <c r="Q21" s="41">
        <f t="shared" si="2"/>
        <v>0</v>
      </c>
    </row>
    <row r="22" spans="2:17" x14ac:dyDescent="0.45">
      <c r="B22" s="42" t="s">
        <v>21</v>
      </c>
      <c r="C22" s="43"/>
      <c r="D22" s="43">
        <v>108</v>
      </c>
      <c r="E22" s="43">
        <v>216</v>
      </c>
      <c r="F22" s="43">
        <f>216+324</f>
        <v>540</v>
      </c>
      <c r="G22" s="43"/>
      <c r="H22" s="43">
        <v>324</v>
      </c>
      <c r="I22" s="68">
        <v>324</v>
      </c>
      <c r="J22" s="43"/>
      <c r="K22" s="43"/>
      <c r="L22" s="43"/>
      <c r="M22" s="43"/>
      <c r="N22" s="43"/>
      <c r="O22" s="43"/>
      <c r="P22" s="40"/>
      <c r="Q22" s="41">
        <f t="shared" si="2"/>
        <v>1512</v>
      </c>
    </row>
    <row r="23" spans="2:17" x14ac:dyDescent="0.45"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7"/>
      <c r="P23" s="40"/>
      <c r="Q23" s="41">
        <f t="shared" si="2"/>
        <v>0</v>
      </c>
    </row>
    <row r="24" spans="2:17" x14ac:dyDescent="0.45">
      <c r="B24" s="44" t="s">
        <v>22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0"/>
      <c r="Q24" s="41">
        <f t="shared" si="2"/>
        <v>0</v>
      </c>
    </row>
    <row r="25" spans="2:17" x14ac:dyDescent="0.45">
      <c r="B25" s="45" t="s">
        <v>23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0"/>
      <c r="Q25" s="41">
        <f t="shared" si="2"/>
        <v>0</v>
      </c>
    </row>
    <row r="26" spans="2:17" x14ac:dyDescent="0.45">
      <c r="B26" s="45" t="s">
        <v>24</v>
      </c>
      <c r="C26" s="43"/>
      <c r="D26" s="43"/>
      <c r="E26" s="43">
        <v>6600</v>
      </c>
      <c r="F26" s="43">
        <v>6600</v>
      </c>
      <c r="G26" s="43"/>
      <c r="H26" s="43"/>
      <c r="I26" s="68">
        <v>12000</v>
      </c>
      <c r="J26" s="43"/>
      <c r="K26" s="43"/>
      <c r="L26" s="43"/>
      <c r="M26" s="43"/>
      <c r="N26" s="43"/>
      <c r="O26" s="43"/>
      <c r="P26" s="40"/>
      <c r="Q26" s="41">
        <f t="shared" si="2"/>
        <v>25200</v>
      </c>
    </row>
    <row r="27" spans="2:17" ht="15" customHeight="1" x14ac:dyDescent="0.45">
      <c r="B27" s="45" t="s">
        <v>25</v>
      </c>
      <c r="C27" s="43"/>
      <c r="D27" s="43">
        <f>43.06+104.3+11.7+1.2+38.7+10.95+43.06</f>
        <v>252.96999999999997</v>
      </c>
      <c r="E27" s="43">
        <f>50.5+173+62+26.3+40.7+43+1.2+243+12.05</f>
        <v>651.75</v>
      </c>
      <c r="F27" s="43">
        <f>1.2+439+664+235.5</f>
        <v>1339.7</v>
      </c>
      <c r="G27" s="43">
        <f>55.37+1.2</f>
        <v>56.57</v>
      </c>
      <c r="H27" s="43">
        <f>53.82+7.16+1.28+1.2+23+5+7.16+46.7</f>
        <v>145.32</v>
      </c>
      <c r="I27" s="43"/>
      <c r="J27" s="43"/>
      <c r="K27" s="43"/>
      <c r="L27" s="43"/>
      <c r="M27" s="43"/>
      <c r="N27" s="43"/>
      <c r="O27" s="43"/>
      <c r="P27" s="40"/>
      <c r="Q27" s="41">
        <f t="shared" si="2"/>
        <v>2446.3100000000004</v>
      </c>
    </row>
    <row r="28" spans="2:17" ht="15" customHeight="1" x14ac:dyDescent="0.45">
      <c r="B28" s="21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0"/>
      <c r="Q28" s="41">
        <f t="shared" si="2"/>
        <v>0</v>
      </c>
    </row>
    <row r="29" spans="2:17" x14ac:dyDescent="0.45">
      <c r="B29" s="46" t="s">
        <v>26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0"/>
      <c r="Q29" s="41">
        <f t="shared" si="2"/>
        <v>0</v>
      </c>
    </row>
    <row r="30" spans="2:17" x14ac:dyDescent="0.45">
      <c r="B30" s="46" t="s">
        <v>27</v>
      </c>
      <c r="C30" s="43"/>
      <c r="D30" s="43"/>
      <c r="E30" s="43"/>
      <c r="F30" s="43"/>
      <c r="G30" s="43"/>
      <c r="H30" s="43">
        <v>28803</v>
      </c>
      <c r="I30" s="43"/>
      <c r="J30" s="43"/>
      <c r="K30" s="43"/>
      <c r="L30" s="43"/>
      <c r="M30" s="43"/>
      <c r="N30" s="43"/>
      <c r="O30" s="43"/>
      <c r="P30" s="40"/>
      <c r="Q30" s="41">
        <f t="shared" si="2"/>
        <v>28803</v>
      </c>
    </row>
    <row r="31" spans="2:17" x14ac:dyDescent="0.45">
      <c r="B31" s="46" t="s">
        <v>28</v>
      </c>
      <c r="C31" s="43"/>
      <c r="D31" s="43"/>
      <c r="E31" s="43">
        <f>3900+6600</f>
        <v>10500</v>
      </c>
      <c r="F31" s="43">
        <f>2352+8550+13728+6600+12000</f>
        <v>43230</v>
      </c>
      <c r="G31" s="43">
        <f>9675+13728+12000+840+6600+1629.6+3500+6116.2</f>
        <v>54088.799999999996</v>
      </c>
      <c r="H31" s="43">
        <f>12000+8550+4656+1260+5400+14300+1080+12480+5350.94+10800+840+6600+5354.4</f>
        <v>88671.34</v>
      </c>
      <c r="I31" s="43">
        <v>10816.8</v>
      </c>
      <c r="J31" s="43"/>
      <c r="K31" s="43"/>
      <c r="L31" s="43"/>
      <c r="M31" s="43"/>
      <c r="N31" s="43"/>
      <c r="O31" s="43"/>
      <c r="P31" s="40"/>
      <c r="Q31" s="41">
        <f t="shared" si="2"/>
        <v>207306.93999999997</v>
      </c>
    </row>
    <row r="32" spans="2:17" x14ac:dyDescent="0.45">
      <c r="B32" s="21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0"/>
      <c r="Q32" s="41">
        <f t="shared" si="2"/>
        <v>0</v>
      </c>
    </row>
    <row r="33" spans="2:17" x14ac:dyDescent="0.45">
      <c r="B33" s="47" t="s">
        <v>29</v>
      </c>
      <c r="C33" s="43"/>
      <c r="D33" s="43">
        <f>5393.45+6963.42+3603.05+3845.76+4748.71+4800.83+4588.27+2682.2+4198.99+5330.69+4953.25+4540.36+5793.2+5737.17+5210.66+4871.86+5603.31+5622.89+5371.28+4740.09+4975.84+5889.62+4938.15+6612.4+4856.96</f>
        <v>125872.40999999999</v>
      </c>
      <c r="E33" s="43">
        <f>4740.09+4856.96+5889.62+4938.15+4975.84+6612.4+5371.28+3973.24+3724.6+6025.8+4996.03+2281.82+5393.45+3845.76+5055.27+4800.83+5737.17+5622.89+4198.99+4953.25+4544.7+5603.31+5330.69+5793.2+6962.33+5093.08+4841.69+4507.46+262.04+527.68+5217.98</f>
        <v>146677.6</v>
      </c>
      <c r="F33" s="43">
        <f>6962.33+5393.45+3973.24+3845.76+5093.08+5055.27+6025.8+4740.09+4800.83+4841.69+4856.96+5889.62+5622.89+4996.03+4938.15+5217.98+4198.99+6612.4+4953.25+4507.46+5371.28+5603.31+5330.69+5793.2+2535.12+4727.68+6072.82+3883.63+4592.51+4598.44+5457.37+5680.68+4846.9+1931.4+6227.2</f>
        <v>175177.5</v>
      </c>
      <c r="G33" s="43">
        <f>5393.45+4727.68+5093.08+5055.27+4800.83+4740.09+4841.69+4856.96+5889.62+5622.89+4996.03+4938.15+4198.99+6612.4+4953.25+4507.46+4598.44+5457.37+5371.28+5603.31+5330.69+5680.68+4846.9+1931.4+5793.2+2425.58+5962.33+5503.4+4529.47+2739.21+3890.93+5681.23+5524.33+5488.5+5307.33+7098.73</f>
        <v>179992.14999999997</v>
      </c>
      <c r="H33" s="43">
        <f>4800.83+4841.69+4856.96+5889.62+5622.89+4996.03+4938.15+5524.33+5488.5+7098.73+4198.99+4953.25+5307.33+4507.46+5457.37+5603.31+4846.9+5793.2+5393.45+4727.68+3890.93+5093.08+5681.23+4740.09+5555.27+3974.59+5301.98+4897.87+5680.68+1931.4+4598.44+5330.69+5960.71+5503.4+4529.47</f>
        <v>177516.49999999997</v>
      </c>
      <c r="I33" s="43">
        <f>5889.28+139.22</f>
        <v>6028.5</v>
      </c>
      <c r="J33" s="43"/>
      <c r="K33" s="43"/>
      <c r="L33" s="43"/>
      <c r="M33" s="43"/>
      <c r="N33" s="43"/>
      <c r="O33" s="43"/>
      <c r="P33" s="40"/>
      <c r="Q33" s="41">
        <f t="shared" si="2"/>
        <v>811264.65999999992</v>
      </c>
    </row>
    <row r="34" spans="2:17" x14ac:dyDescent="0.45">
      <c r="B34" s="48" t="s">
        <v>30</v>
      </c>
      <c r="C34" s="43"/>
      <c r="D34" s="43"/>
      <c r="E34" s="43">
        <f>474.88+480.49+592.03+171.86+398.2+981.2+534.82+358.4+457.84+771.66+193.56</f>
        <v>5414.9400000000005</v>
      </c>
      <c r="F34" s="43">
        <f>597+440.8+500.52+118.98+248.14+568.6+313+118.98+384+892+301.71+586.2+649.54+358.4+338.56+720+671.55+491.92+553.17+279.33+308.82+291.7+592.03+892+212.2+158.64+384+372.9+610.51+710.6+345.48+474.88</f>
        <v>14486.16</v>
      </c>
      <c r="G34" s="43"/>
      <c r="H34" s="43">
        <f>597.42+441.09+328.14+247.8+219.95+544.31+257.08+893+324.58+153.34+384.24+324.91+711.12+331.2+369.28+441.09+473.32+217.3+259.94+470.26+289.12+893+312.76+167.28+294.48+287.43+518.13+358.4+423.14+597.42+261.5</f>
        <v>12392.029999999999</v>
      </c>
      <c r="I34" s="68">
        <v>6762</v>
      </c>
      <c r="J34" s="43"/>
      <c r="K34" s="43"/>
      <c r="L34" s="43"/>
      <c r="M34" s="43"/>
      <c r="N34" s="43"/>
      <c r="O34" s="43"/>
      <c r="P34" s="40"/>
      <c r="Q34" s="41">
        <f t="shared" si="2"/>
        <v>39055.129999999997</v>
      </c>
    </row>
    <row r="35" spans="2:17" x14ac:dyDescent="0.45">
      <c r="B35" s="48" t="s">
        <v>31</v>
      </c>
      <c r="C35" s="43"/>
      <c r="D35" s="43"/>
      <c r="E35" s="43">
        <v>6000</v>
      </c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0"/>
      <c r="Q35" s="41">
        <f t="shared" si="2"/>
        <v>6000</v>
      </c>
    </row>
    <row r="36" spans="2:17" x14ac:dyDescent="0.45">
      <c r="B36" s="48" t="s">
        <v>32</v>
      </c>
      <c r="C36" s="43"/>
      <c r="D36" s="43">
        <f>781.25+253.06+1528+1199.99+39.98+1479+25</f>
        <v>5306.2800000000007</v>
      </c>
      <c r="E36" s="43">
        <f>1609+1609+1990</f>
        <v>5208</v>
      </c>
      <c r="F36" s="43">
        <f>118.8+15+55.2+1179+583.2+31.83</f>
        <v>1983.03</v>
      </c>
      <c r="G36" s="43">
        <f>104.6+3945.73</f>
        <v>4050.33</v>
      </c>
      <c r="H36" s="43">
        <f>20+20</f>
        <v>40</v>
      </c>
      <c r="I36" s="43">
        <f>599+1139+159.99+1479</f>
        <v>3376.99</v>
      </c>
      <c r="J36" s="43"/>
      <c r="K36" s="43"/>
      <c r="L36" s="43"/>
      <c r="M36" s="43"/>
      <c r="N36" s="43"/>
      <c r="O36" s="43"/>
      <c r="P36" s="40"/>
      <c r="Q36" s="41">
        <f t="shared" si="2"/>
        <v>19964.629999999997</v>
      </c>
    </row>
    <row r="37" spans="2:17" x14ac:dyDescent="0.45">
      <c r="B37" s="48" t="s">
        <v>33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0"/>
      <c r="Q37" s="41">
        <f t="shared" si="2"/>
        <v>0</v>
      </c>
    </row>
    <row r="38" spans="2:17" x14ac:dyDescent="0.45">
      <c r="B38" s="48" t="s">
        <v>34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0"/>
      <c r="Q38" s="41">
        <f t="shared" si="2"/>
        <v>0</v>
      </c>
    </row>
    <row r="39" spans="2:17" x14ac:dyDescent="0.45">
      <c r="B39" s="49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0"/>
      <c r="Q39" s="41">
        <f t="shared" si="2"/>
        <v>0</v>
      </c>
    </row>
    <row r="40" spans="2:17" x14ac:dyDescent="0.45">
      <c r="B40" s="50" t="s">
        <v>35</v>
      </c>
      <c r="C40" s="43"/>
      <c r="D40" s="43">
        <v>28761</v>
      </c>
      <c r="E40" s="43">
        <v>54110</v>
      </c>
      <c r="F40" s="43">
        <v>63309</v>
      </c>
      <c r="G40" s="43">
        <v>74800</v>
      </c>
      <c r="H40" s="43">
        <v>78001</v>
      </c>
      <c r="I40" s="68">
        <v>82388</v>
      </c>
      <c r="J40" s="43"/>
      <c r="K40" s="43"/>
      <c r="L40" s="43"/>
      <c r="M40" s="43"/>
      <c r="N40" s="43"/>
      <c r="O40" s="43"/>
      <c r="P40" s="40"/>
      <c r="Q40" s="41">
        <f t="shared" si="2"/>
        <v>381369</v>
      </c>
    </row>
    <row r="41" spans="2:17" x14ac:dyDescent="0.45">
      <c r="B41" s="51" t="s">
        <v>36</v>
      </c>
      <c r="C41" s="43"/>
      <c r="D41" s="43">
        <f>1277.47+6157.76+11138.54</f>
        <v>18573.77</v>
      </c>
      <c r="E41" s="43"/>
      <c r="F41" s="43"/>
      <c r="G41" s="43">
        <f>23275.27+19960.77+27554.87</f>
        <v>70790.91</v>
      </c>
      <c r="H41" s="43">
        <v>28854.48</v>
      </c>
      <c r="I41" s="68">
        <v>31500</v>
      </c>
      <c r="J41" s="43"/>
      <c r="K41" s="43"/>
      <c r="L41" s="43"/>
      <c r="M41" s="43"/>
      <c r="N41" s="43"/>
      <c r="O41" s="43"/>
      <c r="P41" s="40"/>
      <c r="Q41" s="41">
        <f t="shared" si="2"/>
        <v>149719.16</v>
      </c>
    </row>
    <row r="42" spans="2:17" x14ac:dyDescent="0.45">
      <c r="B42" s="51" t="s">
        <v>37</v>
      </c>
      <c r="C42" s="43"/>
      <c r="D42" s="43"/>
      <c r="E42" s="43">
        <v>1568.6</v>
      </c>
      <c r="F42" s="43"/>
      <c r="G42" s="43"/>
      <c r="H42" s="43">
        <v>6634.62</v>
      </c>
      <c r="I42" s="68">
        <v>15000</v>
      </c>
      <c r="J42" s="43"/>
      <c r="K42" s="43"/>
      <c r="L42" s="43"/>
      <c r="M42" s="43"/>
      <c r="N42" s="43"/>
      <c r="O42" s="43"/>
      <c r="P42" s="40"/>
      <c r="Q42" s="41">
        <f t="shared" si="2"/>
        <v>23203.22</v>
      </c>
    </row>
    <row r="43" spans="2:17" x14ac:dyDescent="0.45">
      <c r="B43" s="51" t="s">
        <v>38</v>
      </c>
      <c r="C43" s="43"/>
      <c r="D43" s="43">
        <v>1597.65</v>
      </c>
      <c r="E43" s="43"/>
      <c r="F43" s="43"/>
      <c r="G43" s="43"/>
      <c r="H43" s="43">
        <v>6466.56</v>
      </c>
      <c r="I43" s="43"/>
      <c r="J43" s="43"/>
      <c r="K43" s="43"/>
      <c r="L43" s="43"/>
      <c r="M43" s="43"/>
      <c r="N43" s="43"/>
      <c r="O43" s="43"/>
      <c r="P43" s="40"/>
      <c r="Q43" s="41">
        <f t="shared" si="2"/>
        <v>8064.2100000000009</v>
      </c>
    </row>
    <row r="44" spans="2:17" ht="14.65" thickBot="1" x14ac:dyDescent="0.5">
      <c r="B44" s="51" t="s">
        <v>39</v>
      </c>
      <c r="C44" s="43"/>
      <c r="D44" s="43">
        <v>4576</v>
      </c>
      <c r="E44" s="43">
        <v>8270</v>
      </c>
      <c r="F44" s="43">
        <v>9325</v>
      </c>
      <c r="G44" s="43">
        <f>9753</f>
        <v>9753</v>
      </c>
      <c r="H44" s="43">
        <v>11236</v>
      </c>
      <c r="I44" s="68">
        <v>13760</v>
      </c>
      <c r="J44" s="43"/>
      <c r="K44" s="43"/>
      <c r="L44" s="43"/>
      <c r="M44" s="43"/>
      <c r="N44" s="43"/>
      <c r="O44" s="43"/>
      <c r="P44" s="40"/>
      <c r="Q44" s="41">
        <f t="shared" si="2"/>
        <v>56920</v>
      </c>
    </row>
    <row r="45" spans="2:17" ht="16.149999999999999" thickBot="1" x14ac:dyDescent="0.55000000000000004">
      <c r="B45" s="52" t="s">
        <v>40</v>
      </c>
      <c r="C45" s="53">
        <f>+SUM(C17:C44)</f>
        <v>0</v>
      </c>
      <c r="D45" s="53">
        <f t="shared" ref="D45:O45" si="3">+SUM(D17:D44)</f>
        <v>185121.94999999998</v>
      </c>
      <c r="E45" s="53">
        <f t="shared" si="3"/>
        <v>245255.43000000002</v>
      </c>
      <c r="F45" s="53">
        <f t="shared" si="3"/>
        <v>319430.93</v>
      </c>
      <c r="G45" s="53">
        <f t="shared" si="3"/>
        <v>393571.40999999992</v>
      </c>
      <c r="H45" s="53">
        <f t="shared" si="3"/>
        <v>441672.98999999993</v>
      </c>
      <c r="I45" s="53">
        <f t="shared" si="3"/>
        <v>181956.29</v>
      </c>
      <c r="J45" s="53">
        <f t="shared" si="3"/>
        <v>0</v>
      </c>
      <c r="K45" s="53">
        <f t="shared" si="3"/>
        <v>0</v>
      </c>
      <c r="L45" s="53">
        <f t="shared" si="3"/>
        <v>0</v>
      </c>
      <c r="M45" s="53">
        <f t="shared" si="3"/>
        <v>0</v>
      </c>
      <c r="N45" s="53">
        <f t="shared" si="3"/>
        <v>0</v>
      </c>
      <c r="O45" s="53">
        <f t="shared" si="3"/>
        <v>0</v>
      </c>
      <c r="P45" s="54"/>
      <c r="Q45" s="55">
        <f>+SUM(C45:O45)</f>
        <v>1767009</v>
      </c>
    </row>
    <row r="46" spans="2:17" ht="14.65" thickBot="1" x14ac:dyDescent="0.5">
      <c r="B46" s="56"/>
      <c r="C46" s="57"/>
      <c r="D46" s="57"/>
      <c r="E46" s="57"/>
      <c r="F46" s="57"/>
      <c r="G46" s="57"/>
      <c r="H46" s="57"/>
      <c r="I46" s="57"/>
      <c r="J46" s="57"/>
      <c r="K46" s="57"/>
      <c r="M46" s="57"/>
      <c r="N46" s="57"/>
      <c r="P46" s="40"/>
    </row>
    <row r="47" spans="2:17" ht="15.75" x14ac:dyDescent="0.5">
      <c r="B47" s="63" t="s">
        <v>41</v>
      </c>
      <c r="C47" s="58">
        <f>C14-C45</f>
        <v>10503.67</v>
      </c>
      <c r="D47" s="58">
        <f t="shared" ref="D47:O47" si="4">D14-D45</f>
        <v>4121.2500000000291</v>
      </c>
      <c r="E47" s="58">
        <f t="shared" si="4"/>
        <v>38954.569999999978</v>
      </c>
      <c r="F47" s="58">
        <f t="shared" si="4"/>
        <v>31915.869999999995</v>
      </c>
      <c r="G47" s="58">
        <f t="shared" si="4"/>
        <v>-43503.889999999898</v>
      </c>
      <c r="H47" s="58">
        <f t="shared" si="4"/>
        <v>43632.210000000079</v>
      </c>
      <c r="I47" s="58">
        <f t="shared" si="4"/>
        <v>267655.51</v>
      </c>
      <c r="J47" s="58">
        <f t="shared" si="4"/>
        <v>0</v>
      </c>
      <c r="K47" s="58">
        <f t="shared" si="4"/>
        <v>0</v>
      </c>
      <c r="L47" s="58">
        <f t="shared" si="4"/>
        <v>0</v>
      </c>
      <c r="M47" s="58">
        <f t="shared" si="4"/>
        <v>0</v>
      </c>
      <c r="N47" s="58">
        <f t="shared" si="4"/>
        <v>0</v>
      </c>
      <c r="O47" s="58">
        <f t="shared" si="4"/>
        <v>0</v>
      </c>
      <c r="P47" s="59"/>
      <c r="Q47" s="60">
        <f>Q14-Q45</f>
        <v>353279.18999999994</v>
      </c>
    </row>
    <row r="48" spans="2:17" ht="16.149999999999999" thickBot="1" x14ac:dyDescent="0.55000000000000004">
      <c r="B48" s="64" t="s">
        <v>42</v>
      </c>
      <c r="C48" s="58">
        <f>C47</f>
        <v>10503.67</v>
      </c>
      <c r="D48" s="58">
        <f>C48+D47</f>
        <v>14624.920000000029</v>
      </c>
      <c r="E48" s="58">
        <f t="shared" ref="E48:O48" si="5">D48+E47</f>
        <v>53579.490000000005</v>
      </c>
      <c r="F48" s="58">
        <f t="shared" si="5"/>
        <v>85495.360000000001</v>
      </c>
      <c r="G48" s="58">
        <f t="shared" si="5"/>
        <v>41991.470000000103</v>
      </c>
      <c r="H48" s="58">
        <f t="shared" si="5"/>
        <v>85623.680000000182</v>
      </c>
      <c r="I48" s="58">
        <f t="shared" si="5"/>
        <v>353279.19000000018</v>
      </c>
      <c r="J48" s="58">
        <f t="shared" si="5"/>
        <v>353279.19000000018</v>
      </c>
      <c r="K48" s="58">
        <f t="shared" si="5"/>
        <v>353279.19000000018</v>
      </c>
      <c r="L48" s="58">
        <f t="shared" si="5"/>
        <v>353279.19000000018</v>
      </c>
      <c r="M48" s="58">
        <f t="shared" si="5"/>
        <v>353279.19000000018</v>
      </c>
      <c r="N48" s="58">
        <f t="shared" si="5"/>
        <v>353279.19000000018</v>
      </c>
      <c r="O48" s="58">
        <f t="shared" si="5"/>
        <v>353279.19000000018</v>
      </c>
      <c r="P48" s="59"/>
      <c r="Q48" s="60"/>
    </row>
  </sheetData>
  <mergeCells count="1">
    <mergeCell ref="B2:C3"/>
  </mergeCells>
  <conditionalFormatting sqref="C47:Q48">
    <cfRule type="cellIs" dxfId="23" priority="1" operator="lessThan">
      <formula>0</formula>
    </cfRule>
    <cfRule type="cellIs" dxfId="22" priority="2" operator="greaterThan">
      <formula>0</formula>
    </cfRule>
  </conditionalFormatting>
  <conditionalFormatting sqref="Q45">
    <cfRule type="cellIs" dxfId="21" priority="3" operator="greaterThan">
      <formula>0</formula>
    </cfRule>
    <cfRule type="cellIs" dxfId="20" priority="4" operator="less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FDD44-E499-4948-8958-AFAD565D20A6}">
  <dimension ref="B1:Q48"/>
  <sheetViews>
    <sheetView topLeftCell="A14" workbookViewId="0">
      <selection activeCell="I39" sqref="I39"/>
    </sheetView>
  </sheetViews>
  <sheetFormatPr baseColWidth="10" defaultColWidth="9.1328125" defaultRowHeight="14.25" x14ac:dyDescent="0.45"/>
  <cols>
    <col min="1" max="1" width="4.1328125" style="3" customWidth="1"/>
    <col min="2" max="2" width="37.1328125" style="3" bestFit="1" customWidth="1"/>
    <col min="3" max="3" width="16.53125" style="2" customWidth="1"/>
    <col min="4" max="4" width="16.46484375" style="2" customWidth="1"/>
    <col min="5" max="9" width="16.53125" style="2" customWidth="1"/>
    <col min="10" max="11" width="16.46484375" style="2" bestFit="1" customWidth="1"/>
    <col min="12" max="15" width="15.19921875" style="2" bestFit="1" customWidth="1"/>
    <col min="16" max="16" width="0.33203125" customWidth="1"/>
    <col min="17" max="17" width="15.46484375" style="2" bestFit="1" customWidth="1"/>
    <col min="18" max="16384" width="9.1328125" style="3"/>
  </cols>
  <sheetData>
    <row r="1" spans="2:17" x14ac:dyDescent="0.45">
      <c r="B1" s="71" t="s">
        <v>59</v>
      </c>
    </row>
    <row r="2" spans="2:17" ht="18" x14ac:dyDescent="0.45">
      <c r="B2" s="79" t="s">
        <v>43</v>
      </c>
      <c r="C2" s="79"/>
      <c r="D2" s="1">
        <f t="shared" ref="D2:O2" si="0">+D48</f>
        <v>14624.920000000029</v>
      </c>
      <c r="E2" s="1">
        <f t="shared" si="0"/>
        <v>53579.490000000005</v>
      </c>
      <c r="F2" s="1">
        <f t="shared" si="0"/>
        <v>85495.360000000001</v>
      </c>
      <c r="G2" s="1">
        <f t="shared" si="0"/>
        <v>41991.470000000103</v>
      </c>
      <c r="H2" s="1">
        <f t="shared" si="0"/>
        <v>85623.680000000182</v>
      </c>
      <c r="I2" s="1">
        <f t="shared" si="0"/>
        <v>138402.68000000017</v>
      </c>
      <c r="J2" s="1">
        <f t="shared" si="0"/>
        <v>245456.37000000011</v>
      </c>
      <c r="K2" s="1">
        <f t="shared" si="0"/>
        <v>245456.37000000011</v>
      </c>
      <c r="L2" s="1">
        <f t="shared" si="0"/>
        <v>245456.37000000011</v>
      </c>
      <c r="M2" s="1">
        <f t="shared" si="0"/>
        <v>245456.37000000011</v>
      </c>
      <c r="N2" s="1">
        <f t="shared" si="0"/>
        <v>245456.37000000011</v>
      </c>
      <c r="O2" s="1">
        <f t="shared" si="0"/>
        <v>245456.37000000011</v>
      </c>
      <c r="P2" s="2">
        <f>P48</f>
        <v>0</v>
      </c>
    </row>
    <row r="3" spans="2:17" ht="28.9" thickBot="1" x14ac:dyDescent="0.5">
      <c r="B3" s="80"/>
      <c r="C3" s="80"/>
      <c r="D3" s="61"/>
      <c r="E3" s="61"/>
      <c r="F3" s="61"/>
      <c r="G3" s="61"/>
      <c r="H3" s="61"/>
      <c r="I3" s="61"/>
    </row>
    <row r="4" spans="2:17" s="10" customFormat="1" ht="16.149999999999999" thickBot="1" x14ac:dyDescent="0.5">
      <c r="B4" s="4" t="s">
        <v>0</v>
      </c>
      <c r="C4" s="5" t="s">
        <v>1</v>
      </c>
      <c r="D4" s="5" t="s">
        <v>44</v>
      </c>
      <c r="E4" s="5" t="s">
        <v>45</v>
      </c>
      <c r="F4" s="5" t="s">
        <v>46</v>
      </c>
      <c r="G4" s="5" t="s">
        <v>47</v>
      </c>
      <c r="H4" s="5" t="s">
        <v>48</v>
      </c>
      <c r="I4" s="5" t="s">
        <v>49</v>
      </c>
      <c r="J4" s="6" t="s">
        <v>50</v>
      </c>
      <c r="K4" s="6" t="s">
        <v>51</v>
      </c>
      <c r="L4" s="7" t="s">
        <v>52</v>
      </c>
      <c r="M4" s="6" t="s">
        <v>2</v>
      </c>
      <c r="N4" s="6" t="s">
        <v>3</v>
      </c>
      <c r="O4" s="7" t="s">
        <v>4</v>
      </c>
      <c r="P4" s="8"/>
      <c r="Q4" s="9" t="s">
        <v>5</v>
      </c>
    </row>
    <row r="5" spans="2:17" ht="16.149999999999999" thickBot="1" x14ac:dyDescent="0.55000000000000004">
      <c r="B5" s="11" t="s">
        <v>6</v>
      </c>
      <c r="C5" s="12"/>
      <c r="D5" s="12"/>
      <c r="E5" s="12"/>
      <c r="F5" s="12"/>
      <c r="G5" s="12"/>
      <c r="H5" s="12"/>
      <c r="I5" s="12"/>
      <c r="J5" s="12"/>
      <c r="K5" s="12"/>
      <c r="L5" s="13"/>
      <c r="M5" s="12"/>
      <c r="N5" s="12"/>
      <c r="O5" s="13"/>
      <c r="P5" s="14"/>
      <c r="Q5" s="15"/>
    </row>
    <row r="6" spans="2:17" x14ac:dyDescent="0.45">
      <c r="B6" s="16" t="s">
        <v>7</v>
      </c>
      <c r="C6" s="17">
        <v>10503.67</v>
      </c>
      <c r="D6" s="17"/>
      <c r="E6" s="18"/>
      <c r="F6" s="17"/>
      <c r="G6" s="17"/>
      <c r="H6" s="18"/>
      <c r="I6" s="17"/>
      <c r="J6" s="17"/>
      <c r="K6" s="17"/>
      <c r="L6" s="18"/>
      <c r="M6" s="17"/>
      <c r="N6" s="17"/>
      <c r="O6" s="18"/>
      <c r="P6" s="19"/>
      <c r="Q6" s="20">
        <f>SUM(C6:O6)</f>
        <v>10503.67</v>
      </c>
    </row>
    <row r="7" spans="2:17" x14ac:dyDescent="0.45">
      <c r="B7" s="21" t="s">
        <v>8</v>
      </c>
      <c r="C7" s="22"/>
      <c r="D7" s="22"/>
      <c r="E7" s="23"/>
      <c r="F7" s="22"/>
      <c r="G7" s="22"/>
      <c r="H7" s="23"/>
      <c r="I7" s="22"/>
      <c r="J7" s="22"/>
      <c r="K7" s="22"/>
      <c r="L7" s="23"/>
      <c r="M7" s="22"/>
      <c r="N7" s="22"/>
      <c r="O7" s="23"/>
      <c r="P7" s="19"/>
      <c r="Q7" s="24">
        <f>SUM(C7:O7)</f>
        <v>0</v>
      </c>
    </row>
    <row r="8" spans="2:17" x14ac:dyDescent="0.45">
      <c r="B8" s="21" t="s">
        <v>9</v>
      </c>
      <c r="C8" s="22"/>
      <c r="D8" s="22">
        <v>50000</v>
      </c>
      <c r="E8" s="23">
        <v>50000</v>
      </c>
      <c r="F8" s="22"/>
      <c r="G8" s="22"/>
      <c r="H8" s="23"/>
      <c r="I8" s="22"/>
      <c r="J8" s="22"/>
      <c r="K8" s="22"/>
      <c r="L8" s="23"/>
      <c r="M8" s="22"/>
      <c r="N8" s="22"/>
      <c r="O8" s="23"/>
      <c r="P8" s="19"/>
      <c r="Q8" s="24">
        <f>SUM(C8:O8)</f>
        <v>100000</v>
      </c>
    </row>
    <row r="9" spans="2:17" ht="15" customHeight="1" x14ac:dyDescent="0.45">
      <c r="B9" s="25" t="s">
        <v>10</v>
      </c>
      <c r="C9" s="26"/>
      <c r="D9" s="26"/>
      <c r="E9" s="27"/>
      <c r="F9" s="26"/>
      <c r="G9" s="26"/>
      <c r="H9" s="27"/>
      <c r="I9" s="26"/>
      <c r="J9" s="26"/>
      <c r="K9" s="26"/>
      <c r="L9" s="27"/>
      <c r="M9" s="26"/>
      <c r="N9" s="26"/>
      <c r="O9" s="27"/>
      <c r="P9" s="19"/>
      <c r="Q9" s="28">
        <f>SUM(C9:O9)</f>
        <v>0</v>
      </c>
    </row>
    <row r="10" spans="2:17" ht="1.5" customHeight="1" x14ac:dyDescent="0.45">
      <c r="B10" s="29"/>
      <c r="C10" s="30"/>
      <c r="D10" s="30"/>
      <c r="E10" s="31"/>
      <c r="F10" s="30"/>
      <c r="G10" s="30"/>
      <c r="H10" s="31"/>
      <c r="I10" s="30"/>
      <c r="J10" s="30"/>
      <c r="K10" s="30"/>
      <c r="L10" s="31"/>
      <c r="M10" s="30"/>
      <c r="N10" s="30"/>
      <c r="O10" s="31"/>
      <c r="P10" s="19"/>
      <c r="Q10" s="32"/>
    </row>
    <row r="11" spans="2:17" x14ac:dyDescent="0.45">
      <c r="B11" s="16" t="s">
        <v>11</v>
      </c>
      <c r="C11" s="17"/>
      <c r="D11" s="17">
        <f>4345.2+3744+12642+14520+12672+13728+11760+13680+2160+10800+11832+8268+11040+8052</f>
        <v>139243.20000000001</v>
      </c>
      <c r="E11" s="18">
        <f>11760+15840+15048+13728+15552+6960+10944+12642+9900+11880+13464+14784+13200+12480+6600+2100+8052+12720+10716+15840</f>
        <v>234210</v>
      </c>
      <c r="F11" s="17">
        <f>12936+12144+14520+15312+11880+5280+12000+13728+15312+10752+12600+25176+840+14706+10836+21090+12240+14784+982.8+15600+11880+6624+12600+11280+11400+11040+1260+13920+6000+11232+1392</f>
        <v>351346.8</v>
      </c>
      <c r="G11" s="17">
        <f>10800+125.52+13860+12720+600+12852+15600+11880+6600+10656+11760+13920+12480+14040+6588+20766+11556+14400+11400+7224+14400+10080+10584+10800+14256+14400+23184+12972+12000+6900</f>
        <v>349403.52</v>
      </c>
      <c r="H11" s="18">
        <f>12420+10080+12600+6900+4752+16146+15840+11136+11040+12000+6600+15180+13200+11520+14352+12054+13338+14628+11832+14352+15312+11628+12348+1651.2+7080+17940+840+14766+8052+2232+11352+15456+12960+16560+14076+9000+15120+10800+1440+12000+6600+11592+5700+10830</f>
        <v>485305.2</v>
      </c>
      <c r="I11" s="17">
        <f>7740+14490+13224+10488+12000+11856+6400.02+12540+9720+5550+6588+12084+12636+12960+11856+8736+8352+13338+12960+12540+840+21576+13110+10800+12198+11628+13876.8+12768+10260+1080+12144+8280+3480+10800+8448+5400+5700+10830+7560+9288</f>
        <v>406124.82</v>
      </c>
      <c r="J11" s="17">
        <v>479172.6</v>
      </c>
      <c r="K11" s="17"/>
      <c r="L11" s="18"/>
      <c r="M11" s="17"/>
      <c r="N11" s="17"/>
      <c r="O11" s="18"/>
      <c r="P11" s="19"/>
      <c r="Q11" s="20">
        <f>SUM(C11:O11)</f>
        <v>2444806.14</v>
      </c>
    </row>
    <row r="12" spans="2:17" x14ac:dyDescent="0.45">
      <c r="B12" s="16" t="s">
        <v>12</v>
      </c>
      <c r="C12" s="17"/>
      <c r="D12" s="17"/>
      <c r="E12" s="18"/>
      <c r="F12" s="17"/>
      <c r="G12" s="17">
        <v>664</v>
      </c>
      <c r="H12" s="18"/>
      <c r="I12" s="17"/>
      <c r="J12" s="17"/>
      <c r="K12" s="17"/>
      <c r="L12" s="18"/>
      <c r="M12" s="17"/>
      <c r="N12" s="17"/>
      <c r="O12" s="18"/>
      <c r="P12" s="19"/>
      <c r="Q12" s="20">
        <f>SUM(C12:O12)</f>
        <v>664</v>
      </c>
    </row>
    <row r="13" spans="2:17" ht="14.65" thickBot="1" x14ac:dyDescent="0.5">
      <c r="B13" s="21" t="s">
        <v>13</v>
      </c>
      <c r="C13" s="22"/>
      <c r="D13" s="22"/>
      <c r="E13" s="23"/>
      <c r="F13" s="22"/>
      <c r="G13" s="22"/>
      <c r="H13" s="23"/>
      <c r="I13" s="22"/>
      <c r="J13" s="22"/>
      <c r="K13" s="22"/>
      <c r="L13" s="23"/>
      <c r="M13" s="22"/>
      <c r="N13" s="22"/>
      <c r="O13" s="23"/>
      <c r="P13" s="19"/>
      <c r="Q13" s="24">
        <f>SUM(C13:O13)</f>
        <v>0</v>
      </c>
    </row>
    <row r="14" spans="2:17" s="10" customFormat="1" ht="16.149999999999999" thickBot="1" x14ac:dyDescent="0.5">
      <c r="B14" s="33" t="s">
        <v>14</v>
      </c>
      <c r="C14" s="34">
        <f>SUM(C6:C13)</f>
        <v>10503.67</v>
      </c>
      <c r="D14" s="34">
        <f t="shared" ref="D14:O14" si="1">SUM(D6:D13)</f>
        <v>189243.2</v>
      </c>
      <c r="E14" s="34">
        <f t="shared" si="1"/>
        <v>284210</v>
      </c>
      <c r="F14" s="34">
        <f t="shared" si="1"/>
        <v>351346.8</v>
      </c>
      <c r="G14" s="34">
        <f t="shared" si="1"/>
        <v>350067.52</v>
      </c>
      <c r="H14" s="34">
        <f t="shared" si="1"/>
        <v>485305.2</v>
      </c>
      <c r="I14" s="34">
        <f t="shared" si="1"/>
        <v>406124.82</v>
      </c>
      <c r="J14" s="34">
        <f t="shared" si="1"/>
        <v>479172.6</v>
      </c>
      <c r="K14" s="34">
        <f t="shared" si="1"/>
        <v>0</v>
      </c>
      <c r="L14" s="34">
        <f t="shared" si="1"/>
        <v>0</v>
      </c>
      <c r="M14" s="34">
        <f t="shared" si="1"/>
        <v>0</v>
      </c>
      <c r="N14" s="34">
        <f t="shared" si="1"/>
        <v>0</v>
      </c>
      <c r="O14" s="34">
        <f t="shared" si="1"/>
        <v>0</v>
      </c>
      <c r="P14" s="35"/>
      <c r="Q14" s="36">
        <f>SUM(C14:O14)</f>
        <v>2555973.81</v>
      </c>
    </row>
    <row r="15" spans="2:17" ht="14.65" thickBot="1" x14ac:dyDescent="0.5"/>
    <row r="16" spans="2:17" ht="16.149999999999999" thickBot="1" x14ac:dyDescent="0.55000000000000004">
      <c r="B16" s="37" t="s">
        <v>15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62"/>
    </row>
    <row r="17" spans="2:17" x14ac:dyDescent="0.45">
      <c r="B17" s="39" t="s">
        <v>16</v>
      </c>
      <c r="C17" s="43"/>
      <c r="D17" s="43">
        <v>35.33</v>
      </c>
      <c r="E17" s="43"/>
      <c r="F17" s="43"/>
      <c r="G17" s="43">
        <v>1.1100000000000001</v>
      </c>
      <c r="H17" s="43">
        <f>968+0.3+0.3+0.3+0.3+(0.3*25)+0.3+0.3+0.3</f>
        <v>977.59999999999968</v>
      </c>
      <c r="I17" s="43">
        <f>6</f>
        <v>6</v>
      </c>
      <c r="J17" s="43">
        <f>7.2+2750+2</f>
        <v>2759.2</v>
      </c>
      <c r="K17" s="43"/>
      <c r="L17" s="43"/>
      <c r="M17" s="43"/>
      <c r="N17" s="43"/>
      <c r="O17" s="43"/>
      <c r="P17" s="40"/>
      <c r="Q17" s="41">
        <f t="shared" ref="Q17:Q44" si="2">+SUM(C17:O17)</f>
        <v>3779.24</v>
      </c>
    </row>
    <row r="18" spans="2:17" x14ac:dyDescent="0.45">
      <c r="B18" s="42" t="s">
        <v>17</v>
      </c>
      <c r="C18" s="43"/>
      <c r="D18" s="43">
        <v>38.54</v>
      </c>
      <c r="E18" s="43">
        <v>38.54</v>
      </c>
      <c r="F18" s="43">
        <v>38.54</v>
      </c>
      <c r="G18" s="43">
        <v>38.54</v>
      </c>
      <c r="H18" s="43">
        <v>38.54</v>
      </c>
      <c r="I18" s="43">
        <v>38.54</v>
      </c>
      <c r="J18" s="43">
        <v>38.54</v>
      </c>
      <c r="K18" s="43"/>
      <c r="L18" s="43"/>
      <c r="M18" s="43"/>
      <c r="N18" s="43"/>
      <c r="O18" s="43"/>
      <c r="P18" s="40"/>
      <c r="Q18" s="41">
        <f t="shared" si="2"/>
        <v>269.77999999999997</v>
      </c>
    </row>
    <row r="19" spans="2:17" x14ac:dyDescent="0.45">
      <c r="B19" s="42" t="s">
        <v>18</v>
      </c>
      <c r="C19" s="43"/>
      <c r="D19" s="43"/>
      <c r="E19" s="43"/>
      <c r="F19" s="43">
        <v>3402</v>
      </c>
      <c r="G19" s="43"/>
      <c r="H19" s="43">
        <f>1260+60+252</f>
        <v>1572</v>
      </c>
      <c r="I19" s="43"/>
      <c r="J19" s="43">
        <f>126+60</f>
        <v>186</v>
      </c>
      <c r="K19" s="43"/>
      <c r="L19" s="43"/>
      <c r="M19" s="43"/>
      <c r="N19" s="43"/>
      <c r="O19" s="43"/>
      <c r="P19" s="40"/>
      <c r="Q19" s="41">
        <f t="shared" si="2"/>
        <v>5160</v>
      </c>
    </row>
    <row r="20" spans="2:17" x14ac:dyDescent="0.45">
      <c r="B20" s="42" t="s">
        <v>19</v>
      </c>
      <c r="C20" s="43"/>
      <c r="D20" s="43"/>
      <c r="E20" s="43"/>
      <c r="F20" s="43"/>
      <c r="G20" s="43"/>
      <c r="H20" s="43"/>
      <c r="I20" s="43">
        <v>4735.51</v>
      </c>
      <c r="J20" s="43"/>
      <c r="K20" s="43"/>
      <c r="L20" s="43"/>
      <c r="M20" s="43"/>
      <c r="N20" s="43"/>
      <c r="O20" s="43"/>
      <c r="P20" s="40"/>
      <c r="Q20" s="41">
        <f t="shared" si="2"/>
        <v>4735.51</v>
      </c>
    </row>
    <row r="21" spans="2:17" x14ac:dyDescent="0.45">
      <c r="B21" s="42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0"/>
      <c r="Q21" s="41">
        <f t="shared" si="2"/>
        <v>0</v>
      </c>
    </row>
    <row r="22" spans="2:17" x14ac:dyDescent="0.45">
      <c r="B22" s="42" t="s">
        <v>21</v>
      </c>
      <c r="C22" s="43"/>
      <c r="D22" s="43">
        <v>108</v>
      </c>
      <c r="E22" s="43">
        <v>216</v>
      </c>
      <c r="F22" s="43">
        <f>216+324</f>
        <v>540</v>
      </c>
      <c r="G22" s="43"/>
      <c r="H22" s="43">
        <v>324</v>
      </c>
      <c r="I22" s="43">
        <f>324+324</f>
        <v>648</v>
      </c>
      <c r="J22" s="43">
        <v>324</v>
      </c>
      <c r="K22" s="43"/>
      <c r="L22" s="43"/>
      <c r="M22" s="43"/>
      <c r="N22" s="43"/>
      <c r="O22" s="43"/>
      <c r="P22" s="40"/>
      <c r="Q22" s="41">
        <f t="shared" si="2"/>
        <v>2160</v>
      </c>
    </row>
    <row r="23" spans="2:17" x14ac:dyDescent="0.45"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7"/>
      <c r="P23" s="40"/>
      <c r="Q23" s="41">
        <f t="shared" si="2"/>
        <v>0</v>
      </c>
    </row>
    <row r="24" spans="2:17" x14ac:dyDescent="0.45">
      <c r="B24" s="44" t="s">
        <v>22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0"/>
      <c r="Q24" s="41">
        <f t="shared" si="2"/>
        <v>0</v>
      </c>
    </row>
    <row r="25" spans="2:17" x14ac:dyDescent="0.45">
      <c r="B25" s="45" t="s">
        <v>23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0"/>
      <c r="Q25" s="41">
        <f t="shared" si="2"/>
        <v>0</v>
      </c>
    </row>
    <row r="26" spans="2:17" x14ac:dyDescent="0.45">
      <c r="B26" s="45" t="s">
        <v>24</v>
      </c>
      <c r="C26" s="43"/>
      <c r="D26" s="43"/>
      <c r="E26" s="43">
        <v>6600</v>
      </c>
      <c r="F26" s="43">
        <v>6600</v>
      </c>
      <c r="G26" s="43"/>
      <c r="H26" s="43"/>
      <c r="I26" s="43">
        <f>12000+12000</f>
        <v>24000</v>
      </c>
      <c r="J26" s="43">
        <v>12000</v>
      </c>
      <c r="K26" s="43"/>
      <c r="L26" s="43"/>
      <c r="M26" s="43"/>
      <c r="N26" s="43"/>
      <c r="O26" s="43"/>
      <c r="P26" s="40"/>
      <c r="Q26" s="41">
        <f t="shared" si="2"/>
        <v>49200</v>
      </c>
    </row>
    <row r="27" spans="2:17" ht="15" customHeight="1" x14ac:dyDescent="0.45">
      <c r="B27" s="45" t="s">
        <v>25</v>
      </c>
      <c r="C27" s="43"/>
      <c r="D27" s="43">
        <f>43.06+104.3+11.7+1.2+38.7+10.95+43.06</f>
        <v>252.96999999999997</v>
      </c>
      <c r="E27" s="43">
        <f>50.5+173+62+26.3+40.7+43+1.2+243+12.05</f>
        <v>651.75</v>
      </c>
      <c r="F27" s="43">
        <f>1.2+439+664+235.5</f>
        <v>1339.7</v>
      </c>
      <c r="G27" s="43">
        <f>55.37+1.2</f>
        <v>56.57</v>
      </c>
      <c r="H27" s="43">
        <f>53.82+7.16+1.28+1.2+23+5+7.16+46.7</f>
        <v>145.32</v>
      </c>
      <c r="I27" s="43">
        <f>36.9+22.98+8.5+5.99+12+1.2+54+33.8</f>
        <v>175.37</v>
      </c>
      <c r="J27" s="43">
        <f>4.32+5.14+47.38+1.2</f>
        <v>58.040000000000006</v>
      </c>
      <c r="K27" s="43"/>
      <c r="L27" s="43"/>
      <c r="M27" s="43"/>
      <c r="N27" s="43"/>
      <c r="O27" s="43"/>
      <c r="P27" s="40"/>
      <c r="Q27" s="41">
        <f t="shared" si="2"/>
        <v>2679.7200000000003</v>
      </c>
    </row>
    <row r="28" spans="2:17" ht="15" customHeight="1" x14ac:dyDescent="0.45">
      <c r="B28" s="21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0"/>
      <c r="Q28" s="41">
        <f t="shared" si="2"/>
        <v>0</v>
      </c>
    </row>
    <row r="29" spans="2:17" x14ac:dyDescent="0.45">
      <c r="B29" s="46" t="s">
        <v>26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0"/>
      <c r="Q29" s="41">
        <f t="shared" si="2"/>
        <v>0</v>
      </c>
    </row>
    <row r="30" spans="2:17" x14ac:dyDescent="0.45">
      <c r="B30" s="46" t="s">
        <v>27</v>
      </c>
      <c r="C30" s="43"/>
      <c r="D30" s="43"/>
      <c r="E30" s="43"/>
      <c r="F30" s="43"/>
      <c r="G30" s="43"/>
      <c r="H30" s="43">
        <v>28803</v>
      </c>
      <c r="I30" s="43"/>
      <c r="J30" s="43"/>
      <c r="K30" s="43"/>
      <c r="L30" s="43"/>
      <c r="M30" s="43"/>
      <c r="N30" s="43"/>
      <c r="O30" s="43"/>
      <c r="P30" s="40"/>
      <c r="Q30" s="41">
        <f t="shared" si="2"/>
        <v>28803</v>
      </c>
    </row>
    <row r="31" spans="2:17" x14ac:dyDescent="0.45">
      <c r="B31" s="46" t="s">
        <v>28</v>
      </c>
      <c r="C31" s="43"/>
      <c r="D31" s="43"/>
      <c r="E31" s="43">
        <f>3900+6600</f>
        <v>10500</v>
      </c>
      <c r="F31" s="43">
        <f>2352+8550+13728+6600+12000</f>
        <v>43230</v>
      </c>
      <c r="G31" s="43">
        <f>9675+13728+12000+840+6600+1629.6+3500+6116.2</f>
        <v>54088.799999999996</v>
      </c>
      <c r="H31" s="43">
        <f>12000+8550+4656+1260+5400+14300+1080+12480+5350.94+10800+840+6600+5354.4</f>
        <v>88671.34</v>
      </c>
      <c r="I31" s="43">
        <f>840+5400+4306.8+1080</f>
        <v>11626.8</v>
      </c>
      <c r="J31" s="43">
        <f>2505+15013.2</f>
        <v>17518.2</v>
      </c>
      <c r="K31" s="43"/>
      <c r="L31" s="43"/>
      <c r="M31" s="43"/>
      <c r="N31" s="43"/>
      <c r="O31" s="43"/>
      <c r="P31" s="40"/>
      <c r="Q31" s="41">
        <f t="shared" si="2"/>
        <v>225635.13999999998</v>
      </c>
    </row>
    <row r="32" spans="2:17" x14ac:dyDescent="0.45">
      <c r="B32" s="21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0"/>
      <c r="Q32" s="41">
        <f t="shared" si="2"/>
        <v>0</v>
      </c>
    </row>
    <row r="33" spans="2:17" x14ac:dyDescent="0.45">
      <c r="B33" s="47" t="s">
        <v>29</v>
      </c>
      <c r="C33" s="43"/>
      <c r="D33" s="43">
        <f>5393.45+6963.42+3603.05+3845.76+4748.71+4800.83+4588.27+2682.2+4198.99+5330.69+4953.25+4540.36+5793.2+5737.17+5210.66+4871.86+5603.31+5622.89+5371.28+4740.09+4975.84+5889.62+4938.15+6612.4+4856.96</f>
        <v>125872.40999999999</v>
      </c>
      <c r="E33" s="43">
        <f>4740.09+4856.96+5889.62+4938.15+4975.84+6612.4+5371.28+3973.24+3724.6+6025.8+4996.03+2281.82+5393.45+3845.76+5055.27+4800.83+5737.17+5622.89+4198.99+4953.25+4544.7+5603.31+5330.69+5793.2+6962.33+5093.08+4841.69+4507.46+262.04+527.68+5217.98</f>
        <v>146677.6</v>
      </c>
      <c r="F33" s="43">
        <f>6962.33+5393.45+3973.24+3845.76+5093.08+5055.27+6025.8+4740.09+4800.83+4841.69+4856.96+5889.62+5622.89+4996.03+4938.15+5217.98+4198.99+6612.4+4953.25+4507.46+5371.28+5603.31+5330.69+5793.2+2535.12+4727.68+6072.82+3883.63+4592.51+4598.44+5457.37+5680.68+4846.9+1931.4+6227.2</f>
        <v>175177.5</v>
      </c>
      <c r="G33" s="43">
        <f>5393.45+4727.68+5093.08+5055.27+4800.83+4740.09+4841.69+4856.96+5889.62+5622.89+4996.03+4938.15+4198.99+6612.4+4953.25+4507.46+4598.44+5457.37+5371.28+5603.31+5330.69+5680.68+4846.9+1931.4+5793.2+2425.58+5962.33+5503.4+4529.47+2739.21+3890.93+5681.23+5524.33+5488.5+5307.33+7098.73</f>
        <v>179992.14999999997</v>
      </c>
      <c r="H33" s="43">
        <f>4800.83+4841.69+4856.96+5889.62+5622.89+4996.03+4938.15+5524.33+5488.5+7098.73+4198.99+4953.25+5307.33+4507.46+5457.37+5603.31+4846.9+5793.2+5393.45+4727.68+3890.93+5093.08+5681.23+4740.09+5555.27+3974.59+5301.98+4897.87+5680.68+1931.4+4598.44+5330.69+5960.71+5503.4+4529.47</f>
        <v>177516.49999999997</v>
      </c>
      <c r="I33" s="43">
        <f>5889.28+139.22+9222.1+5503.4+5393.45+4529.47+4727.68+5093.08+5555.27+5681.23+4740.09+4800.83+4841.69+4856.96+4996.03+4938.15+5524.33+4198.99+5307.33+4953.25+4507.46+4598.44+5457.37+5330.69+5680.68+4846.9+5921.5+5836.46+6167.99+7098.73+4799.57+4466.41+3801.71+1983.43+5783.4+4750.97+2865.45</f>
        <v>184788.99000000002</v>
      </c>
      <c r="J33" s="68">
        <f>151.94+5268.84+2372.9+7578.02+193000</f>
        <v>208371.7</v>
      </c>
      <c r="K33" s="43"/>
      <c r="L33" s="43"/>
      <c r="M33" s="43"/>
      <c r="N33" s="43"/>
      <c r="O33" s="43"/>
      <c r="P33" s="40"/>
      <c r="Q33" s="41">
        <f t="shared" si="2"/>
        <v>1198396.8499999999</v>
      </c>
    </row>
    <row r="34" spans="2:17" x14ac:dyDescent="0.45">
      <c r="B34" s="48" t="s">
        <v>30</v>
      </c>
      <c r="C34" s="43"/>
      <c r="D34" s="43"/>
      <c r="E34" s="43">
        <f>474.88+480.49+592.03+171.86+398.2+981.2+534.82+358.4+457.84+771.66+193.56</f>
        <v>5414.9400000000005</v>
      </c>
      <c r="F34" s="43">
        <f>597+440.8+500.52+118.98+248.14+568.6+313+118.98+384+892+301.71+586.2+649.54+358.4+338.56+720+671.55+491.92+553.17+279.33+308.82+291.7+592.03+892+212.2+158.64+384+372.9+610.51+710.6+345.48+474.88</f>
        <v>14486.16</v>
      </c>
      <c r="G34" s="43"/>
      <c r="H34" s="43">
        <f>597.42+441.09+328.14+247.8+219.95+544.31+257.08+893+324.58+153.34+384.24+324.91+711.12+331.2+369.28+441.09+473.32+217.3+259.94+470.26+289.12+893+312.76+167.28+294.48+287.43+518.13+358.4+423.14+597.42+261.5</f>
        <v>12392.029999999999</v>
      </c>
      <c r="I34" s="43">
        <f>675.96+236+494.94+390.36+643.05+516.06+1034+300.94+181.22+646.79+344.8+476.99</f>
        <v>5941.1100000000006</v>
      </c>
      <c r="J34" s="68">
        <f>264.22+319.91+506.98+374.89+5941.11</f>
        <v>7407.11</v>
      </c>
      <c r="K34" s="43"/>
      <c r="L34" s="43"/>
      <c r="M34" s="43"/>
      <c r="N34" s="43"/>
      <c r="O34" s="43"/>
      <c r="P34" s="40"/>
      <c r="Q34" s="41">
        <f t="shared" si="2"/>
        <v>45641.35</v>
      </c>
    </row>
    <row r="35" spans="2:17" x14ac:dyDescent="0.45">
      <c r="B35" s="48" t="s">
        <v>31</v>
      </c>
      <c r="C35" s="43"/>
      <c r="D35" s="43"/>
      <c r="E35" s="43">
        <v>6000</v>
      </c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0"/>
      <c r="Q35" s="41">
        <f t="shared" si="2"/>
        <v>6000</v>
      </c>
    </row>
    <row r="36" spans="2:17" x14ac:dyDescent="0.45">
      <c r="B36" s="48" t="s">
        <v>32</v>
      </c>
      <c r="C36" s="43"/>
      <c r="D36" s="43">
        <f>781.25+253.06+1528+1199.99+39.98+1479+25</f>
        <v>5306.2800000000007</v>
      </c>
      <c r="E36" s="43">
        <f>1609+1609+1990</f>
        <v>5208</v>
      </c>
      <c r="F36" s="43">
        <f>118.8+15+55.2+1179+583.2+31.83</f>
        <v>1983.03</v>
      </c>
      <c r="G36" s="43">
        <f>104.6+3945.73</f>
        <v>4050.33</v>
      </c>
      <c r="H36" s="43">
        <f>20+20</f>
        <v>40</v>
      </c>
      <c r="I36" s="43">
        <f>599+1139+159.99+1479+449</f>
        <v>3825.99</v>
      </c>
      <c r="J36" s="43">
        <f>202.9</f>
        <v>202.9</v>
      </c>
      <c r="K36" s="43"/>
      <c r="L36" s="43"/>
      <c r="M36" s="43"/>
      <c r="N36" s="43"/>
      <c r="O36" s="43"/>
      <c r="P36" s="40"/>
      <c r="Q36" s="41">
        <f t="shared" si="2"/>
        <v>20616.53</v>
      </c>
    </row>
    <row r="37" spans="2:17" x14ac:dyDescent="0.45">
      <c r="B37" s="48" t="s">
        <v>33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0"/>
      <c r="Q37" s="41">
        <f t="shared" si="2"/>
        <v>0</v>
      </c>
    </row>
    <row r="38" spans="2:17" x14ac:dyDescent="0.45">
      <c r="B38" s="48" t="s">
        <v>34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0"/>
      <c r="Q38" s="41">
        <f t="shared" si="2"/>
        <v>0</v>
      </c>
    </row>
    <row r="39" spans="2:17" x14ac:dyDescent="0.45">
      <c r="B39" s="49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0"/>
      <c r="Q39" s="41">
        <f t="shared" si="2"/>
        <v>0</v>
      </c>
    </row>
    <row r="40" spans="2:17" x14ac:dyDescent="0.45">
      <c r="B40" s="50" t="s">
        <v>35</v>
      </c>
      <c r="C40" s="43"/>
      <c r="D40" s="43">
        <v>28761</v>
      </c>
      <c r="E40" s="43">
        <v>54110</v>
      </c>
      <c r="F40" s="43">
        <v>63309</v>
      </c>
      <c r="G40" s="43">
        <v>74800</v>
      </c>
      <c r="H40" s="43">
        <v>78001</v>
      </c>
      <c r="I40" s="43">
        <f>76370+106</f>
        <v>76476</v>
      </c>
      <c r="J40" s="43">
        <v>79639</v>
      </c>
      <c r="K40" s="43"/>
      <c r="L40" s="43"/>
      <c r="M40" s="43"/>
      <c r="N40" s="43"/>
      <c r="O40" s="43"/>
      <c r="P40" s="40"/>
      <c r="Q40" s="41">
        <f t="shared" si="2"/>
        <v>455096</v>
      </c>
    </row>
    <row r="41" spans="2:17" x14ac:dyDescent="0.45">
      <c r="B41" s="51" t="s">
        <v>36</v>
      </c>
      <c r="C41" s="43"/>
      <c r="D41" s="43">
        <f>1277.47+6157.76+11138.54</f>
        <v>18573.77</v>
      </c>
      <c r="E41" s="43"/>
      <c r="F41" s="43"/>
      <c r="G41" s="43">
        <f>23275.27+19960.77+27554.87</f>
        <v>70790.91</v>
      </c>
      <c r="H41" s="43">
        <v>28854.48</v>
      </c>
      <c r="I41" s="43">
        <v>28890.51</v>
      </c>
      <c r="J41" s="43">
        <v>30338.22</v>
      </c>
      <c r="K41" s="43"/>
      <c r="L41" s="43"/>
      <c r="M41" s="43"/>
      <c r="N41" s="43"/>
      <c r="O41" s="43"/>
      <c r="P41" s="40"/>
      <c r="Q41" s="41">
        <f t="shared" si="2"/>
        <v>177447.89</v>
      </c>
    </row>
    <row r="42" spans="2:17" x14ac:dyDescent="0.45">
      <c r="B42" s="51" t="s">
        <v>37</v>
      </c>
      <c r="C42" s="43"/>
      <c r="D42" s="43"/>
      <c r="E42" s="43">
        <v>1568.6</v>
      </c>
      <c r="F42" s="43"/>
      <c r="G42" s="43"/>
      <c r="H42" s="43">
        <v>6634.62</v>
      </c>
      <c r="I42" s="43"/>
      <c r="J42" s="43"/>
      <c r="K42" s="43"/>
      <c r="L42" s="43"/>
      <c r="M42" s="43"/>
      <c r="N42" s="43"/>
      <c r="O42" s="43"/>
      <c r="P42" s="40"/>
      <c r="Q42" s="41">
        <f t="shared" si="2"/>
        <v>8203.2199999999993</v>
      </c>
    </row>
    <row r="43" spans="2:17" x14ac:dyDescent="0.45">
      <c r="B43" s="51" t="s">
        <v>38</v>
      </c>
      <c r="C43" s="43"/>
      <c r="D43" s="43">
        <v>1597.65</v>
      </c>
      <c r="E43" s="43"/>
      <c r="F43" s="43"/>
      <c r="G43" s="43"/>
      <c r="H43" s="43">
        <v>6466.56</v>
      </c>
      <c r="I43" s="43"/>
      <c r="J43" s="43"/>
      <c r="K43" s="43"/>
      <c r="L43" s="43"/>
      <c r="M43" s="43"/>
      <c r="N43" s="43"/>
      <c r="O43" s="43"/>
      <c r="P43" s="40"/>
      <c r="Q43" s="41">
        <f t="shared" si="2"/>
        <v>8064.2100000000009</v>
      </c>
    </row>
    <row r="44" spans="2:17" ht="14.65" thickBot="1" x14ac:dyDescent="0.5">
      <c r="B44" s="51" t="s">
        <v>39</v>
      </c>
      <c r="C44" s="43"/>
      <c r="D44" s="43">
        <v>4576</v>
      </c>
      <c r="E44" s="43">
        <v>8270</v>
      </c>
      <c r="F44" s="43">
        <v>9325</v>
      </c>
      <c r="G44" s="43">
        <f>9753</f>
        <v>9753</v>
      </c>
      <c r="H44" s="43">
        <v>11236</v>
      </c>
      <c r="I44" s="43">
        <v>12193</v>
      </c>
      <c r="J44" s="43">
        <v>13276</v>
      </c>
      <c r="K44" s="43"/>
      <c r="L44" s="43"/>
      <c r="M44" s="43"/>
      <c r="N44" s="43"/>
      <c r="O44" s="43"/>
      <c r="P44" s="40"/>
      <c r="Q44" s="41">
        <f t="shared" si="2"/>
        <v>68629</v>
      </c>
    </row>
    <row r="45" spans="2:17" ht="16.149999999999999" thickBot="1" x14ac:dyDescent="0.55000000000000004">
      <c r="B45" s="52" t="s">
        <v>40</v>
      </c>
      <c r="C45" s="53">
        <f>+SUM(C17:C44)</f>
        <v>0</v>
      </c>
      <c r="D45" s="53">
        <f t="shared" ref="D45:O45" si="3">+SUM(D17:D44)</f>
        <v>185121.94999999998</v>
      </c>
      <c r="E45" s="53">
        <f t="shared" si="3"/>
        <v>245255.43000000002</v>
      </c>
      <c r="F45" s="53">
        <f t="shared" si="3"/>
        <v>319430.93</v>
      </c>
      <c r="G45" s="53">
        <f t="shared" si="3"/>
        <v>393571.40999999992</v>
      </c>
      <c r="H45" s="53">
        <f t="shared" si="3"/>
        <v>441672.98999999993</v>
      </c>
      <c r="I45" s="53">
        <f t="shared" si="3"/>
        <v>353345.82</v>
      </c>
      <c r="J45" s="53">
        <f t="shared" si="3"/>
        <v>372118.91000000003</v>
      </c>
      <c r="K45" s="53">
        <f t="shared" si="3"/>
        <v>0</v>
      </c>
      <c r="L45" s="53">
        <f t="shared" si="3"/>
        <v>0</v>
      </c>
      <c r="M45" s="53">
        <f t="shared" si="3"/>
        <v>0</v>
      </c>
      <c r="N45" s="53">
        <f t="shared" si="3"/>
        <v>0</v>
      </c>
      <c r="O45" s="53">
        <f t="shared" si="3"/>
        <v>0</v>
      </c>
      <c r="P45" s="54"/>
      <c r="Q45" s="55">
        <f>+SUM(C45:O45)</f>
        <v>2310517.44</v>
      </c>
    </row>
    <row r="46" spans="2:17" ht="14.65" thickBot="1" x14ac:dyDescent="0.5">
      <c r="B46" s="56"/>
      <c r="C46" s="57"/>
      <c r="D46" s="57"/>
      <c r="E46" s="57"/>
      <c r="F46" s="57"/>
      <c r="G46" s="57"/>
      <c r="H46" s="57"/>
      <c r="I46" s="57"/>
      <c r="J46" s="57"/>
      <c r="K46" s="57"/>
      <c r="M46" s="57"/>
      <c r="N46" s="57"/>
      <c r="P46" s="40"/>
    </row>
    <row r="47" spans="2:17" ht="15.75" x14ac:dyDescent="0.5">
      <c r="B47" s="63" t="s">
        <v>41</v>
      </c>
      <c r="C47" s="58">
        <f>C14-C45</f>
        <v>10503.67</v>
      </c>
      <c r="D47" s="58">
        <f t="shared" ref="D47:O47" si="4">D14-D45</f>
        <v>4121.2500000000291</v>
      </c>
      <c r="E47" s="58">
        <f t="shared" si="4"/>
        <v>38954.569999999978</v>
      </c>
      <c r="F47" s="58">
        <f t="shared" si="4"/>
        <v>31915.869999999995</v>
      </c>
      <c r="G47" s="58">
        <f t="shared" si="4"/>
        <v>-43503.889999999898</v>
      </c>
      <c r="H47" s="58">
        <f t="shared" si="4"/>
        <v>43632.210000000079</v>
      </c>
      <c r="I47" s="58">
        <f t="shared" si="4"/>
        <v>52779</v>
      </c>
      <c r="J47" s="58">
        <f t="shared" si="4"/>
        <v>107053.68999999994</v>
      </c>
      <c r="K47" s="58">
        <f t="shared" si="4"/>
        <v>0</v>
      </c>
      <c r="L47" s="58">
        <f t="shared" si="4"/>
        <v>0</v>
      </c>
      <c r="M47" s="58">
        <f t="shared" si="4"/>
        <v>0</v>
      </c>
      <c r="N47" s="58">
        <f t="shared" si="4"/>
        <v>0</v>
      </c>
      <c r="O47" s="58">
        <f t="shared" si="4"/>
        <v>0</v>
      </c>
      <c r="P47" s="59"/>
      <c r="Q47" s="60">
        <f>Q14-Q45</f>
        <v>245456.37000000011</v>
      </c>
    </row>
    <row r="48" spans="2:17" ht="16.149999999999999" thickBot="1" x14ac:dyDescent="0.55000000000000004">
      <c r="B48" s="64" t="s">
        <v>42</v>
      </c>
      <c r="C48" s="58">
        <f>C47</f>
        <v>10503.67</v>
      </c>
      <c r="D48" s="58">
        <f>C48+D47</f>
        <v>14624.920000000029</v>
      </c>
      <c r="E48" s="58">
        <f t="shared" ref="E48:O48" si="5">D48+E47</f>
        <v>53579.490000000005</v>
      </c>
      <c r="F48" s="58">
        <f t="shared" si="5"/>
        <v>85495.360000000001</v>
      </c>
      <c r="G48" s="58">
        <f t="shared" si="5"/>
        <v>41991.470000000103</v>
      </c>
      <c r="H48" s="58">
        <f t="shared" si="5"/>
        <v>85623.680000000182</v>
      </c>
      <c r="I48" s="58">
        <f t="shared" si="5"/>
        <v>138402.68000000017</v>
      </c>
      <c r="J48" s="58">
        <f t="shared" si="5"/>
        <v>245456.37000000011</v>
      </c>
      <c r="K48" s="58">
        <f t="shared" si="5"/>
        <v>245456.37000000011</v>
      </c>
      <c r="L48" s="58">
        <f t="shared" si="5"/>
        <v>245456.37000000011</v>
      </c>
      <c r="M48" s="58">
        <f t="shared" si="5"/>
        <v>245456.37000000011</v>
      </c>
      <c r="N48" s="58">
        <f t="shared" si="5"/>
        <v>245456.37000000011</v>
      </c>
      <c r="O48" s="58">
        <f t="shared" si="5"/>
        <v>245456.37000000011</v>
      </c>
      <c r="P48" s="59"/>
      <c r="Q48" s="60"/>
    </row>
  </sheetData>
  <mergeCells count="1">
    <mergeCell ref="B2:C3"/>
  </mergeCells>
  <conditionalFormatting sqref="C47:Q48">
    <cfRule type="cellIs" dxfId="19" priority="1" operator="lessThan">
      <formula>0</formula>
    </cfRule>
    <cfRule type="cellIs" dxfId="18" priority="2" operator="greaterThan">
      <formula>0</formula>
    </cfRule>
  </conditionalFormatting>
  <conditionalFormatting sqref="Q45">
    <cfRule type="cellIs" dxfId="17" priority="3" operator="greaterThan">
      <formula>0</formula>
    </cfRule>
    <cfRule type="cellIs" dxfId="16" priority="4" operator="less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296DA-DF21-48E0-8A8B-14D8DF47621F}">
  <dimension ref="B1:Q48"/>
  <sheetViews>
    <sheetView topLeftCell="A8" workbookViewId="0">
      <selection activeCell="K29" sqref="K29"/>
    </sheetView>
  </sheetViews>
  <sheetFormatPr baseColWidth="10" defaultColWidth="9.1328125" defaultRowHeight="14.25" x14ac:dyDescent="0.45"/>
  <cols>
    <col min="1" max="1" width="4.1328125" style="3" customWidth="1"/>
    <col min="2" max="2" width="37.1328125" style="3" bestFit="1" customWidth="1"/>
    <col min="3" max="3" width="16.53125" style="2" customWidth="1"/>
    <col min="4" max="4" width="16.46484375" style="2" customWidth="1"/>
    <col min="5" max="9" width="16.53125" style="2" customWidth="1"/>
    <col min="10" max="11" width="16.46484375" style="2" bestFit="1" customWidth="1"/>
    <col min="12" max="15" width="15.19921875" style="2" bestFit="1" customWidth="1"/>
    <col min="16" max="16" width="0.33203125" customWidth="1"/>
    <col min="17" max="17" width="15.46484375" style="2" bestFit="1" customWidth="1"/>
    <col min="18" max="16384" width="9.1328125" style="3"/>
  </cols>
  <sheetData>
    <row r="1" spans="2:17" x14ac:dyDescent="0.45">
      <c r="B1" s="71" t="s">
        <v>60</v>
      </c>
    </row>
    <row r="2" spans="2:17" ht="18" x14ac:dyDescent="0.45">
      <c r="B2" s="79" t="s">
        <v>43</v>
      </c>
      <c r="C2" s="79"/>
      <c r="D2" s="1">
        <f t="shared" ref="D2:O2" si="0">+D48</f>
        <v>14624.920000000029</v>
      </c>
      <c r="E2" s="1">
        <f t="shared" si="0"/>
        <v>53579.490000000005</v>
      </c>
      <c r="F2" s="1">
        <f t="shared" si="0"/>
        <v>85495.360000000001</v>
      </c>
      <c r="G2" s="1">
        <f t="shared" si="0"/>
        <v>41991.470000000103</v>
      </c>
      <c r="H2" s="1">
        <f t="shared" si="0"/>
        <v>85623.680000000182</v>
      </c>
      <c r="I2" s="1">
        <f t="shared" si="0"/>
        <v>138402.68000000017</v>
      </c>
      <c r="J2" s="1">
        <f t="shared" si="0"/>
        <v>232003.49000000011</v>
      </c>
      <c r="K2" s="1">
        <f t="shared" si="0"/>
        <v>212346.15000000008</v>
      </c>
      <c r="L2" s="1">
        <f t="shared" si="0"/>
        <v>212346.15000000008</v>
      </c>
      <c r="M2" s="1">
        <f t="shared" si="0"/>
        <v>212346.15000000008</v>
      </c>
      <c r="N2" s="1">
        <f t="shared" si="0"/>
        <v>212346.15000000008</v>
      </c>
      <c r="O2" s="1">
        <f t="shared" si="0"/>
        <v>212346.15000000008</v>
      </c>
      <c r="P2" s="2">
        <f>P48</f>
        <v>0</v>
      </c>
    </row>
    <row r="3" spans="2:17" ht="28.9" thickBot="1" x14ac:dyDescent="0.5">
      <c r="B3" s="80"/>
      <c r="C3" s="80"/>
      <c r="D3" s="61"/>
      <c r="E3" s="61"/>
      <c r="F3" s="61"/>
      <c r="G3" s="61"/>
      <c r="H3" s="61"/>
      <c r="I3" s="61"/>
    </row>
    <row r="4" spans="2:17" s="10" customFormat="1" ht="16.149999999999999" thickBot="1" x14ac:dyDescent="0.5">
      <c r="B4" s="4" t="s">
        <v>0</v>
      </c>
      <c r="C4" s="5" t="s">
        <v>1</v>
      </c>
      <c r="D4" s="5" t="s">
        <v>44</v>
      </c>
      <c r="E4" s="5" t="s">
        <v>45</v>
      </c>
      <c r="F4" s="5" t="s">
        <v>46</v>
      </c>
      <c r="G4" s="5" t="s">
        <v>47</v>
      </c>
      <c r="H4" s="5" t="s">
        <v>48</v>
      </c>
      <c r="I4" s="5" t="s">
        <v>49</v>
      </c>
      <c r="J4" s="6" t="s">
        <v>50</v>
      </c>
      <c r="K4" s="6" t="s">
        <v>51</v>
      </c>
      <c r="L4" s="7" t="s">
        <v>52</v>
      </c>
      <c r="M4" s="6" t="s">
        <v>2</v>
      </c>
      <c r="N4" s="6" t="s">
        <v>3</v>
      </c>
      <c r="O4" s="7" t="s">
        <v>4</v>
      </c>
      <c r="P4" s="8"/>
      <c r="Q4" s="9" t="s">
        <v>5</v>
      </c>
    </row>
    <row r="5" spans="2:17" ht="16.149999999999999" thickBot="1" x14ac:dyDescent="0.55000000000000004">
      <c r="B5" s="11" t="s">
        <v>6</v>
      </c>
      <c r="C5" s="12"/>
      <c r="D5" s="12"/>
      <c r="E5" s="12"/>
      <c r="F5" s="12"/>
      <c r="G5" s="12"/>
      <c r="H5" s="12"/>
      <c r="I5" s="12"/>
      <c r="J5" s="12"/>
      <c r="K5" s="12"/>
      <c r="L5" s="13"/>
      <c r="M5" s="12"/>
      <c r="N5" s="12"/>
      <c r="O5" s="13"/>
      <c r="P5" s="14"/>
      <c r="Q5" s="15"/>
    </row>
    <row r="6" spans="2:17" x14ac:dyDescent="0.45">
      <c r="B6" s="16" t="s">
        <v>7</v>
      </c>
      <c r="C6" s="17">
        <v>10503.67</v>
      </c>
      <c r="D6" s="17"/>
      <c r="E6" s="18"/>
      <c r="F6" s="17"/>
      <c r="G6" s="17"/>
      <c r="H6" s="18"/>
      <c r="I6" s="17"/>
      <c r="J6" s="17"/>
      <c r="K6" s="17"/>
      <c r="L6" s="18"/>
      <c r="M6" s="17"/>
      <c r="N6" s="17"/>
      <c r="O6" s="18"/>
      <c r="P6" s="19"/>
      <c r="Q6" s="20">
        <f>SUM(C6:O6)</f>
        <v>10503.67</v>
      </c>
    </row>
    <row r="7" spans="2:17" x14ac:dyDescent="0.45">
      <c r="B7" s="21" t="s">
        <v>8</v>
      </c>
      <c r="C7" s="22"/>
      <c r="D7" s="22"/>
      <c r="E7" s="23"/>
      <c r="F7" s="22"/>
      <c r="G7" s="22"/>
      <c r="H7" s="23"/>
      <c r="I7" s="22"/>
      <c r="J7" s="22"/>
      <c r="K7" s="22"/>
      <c r="L7" s="23"/>
      <c r="M7" s="22"/>
      <c r="N7" s="22"/>
      <c r="O7" s="23"/>
      <c r="P7" s="19"/>
      <c r="Q7" s="24">
        <f>SUM(C7:O7)</f>
        <v>0</v>
      </c>
    </row>
    <row r="8" spans="2:17" x14ac:dyDescent="0.45">
      <c r="B8" s="21" t="s">
        <v>9</v>
      </c>
      <c r="C8" s="22"/>
      <c r="D8" s="22">
        <v>50000</v>
      </c>
      <c r="E8" s="23">
        <v>50000</v>
      </c>
      <c r="F8" s="22"/>
      <c r="G8" s="22"/>
      <c r="H8" s="23"/>
      <c r="I8" s="22"/>
      <c r="J8" s="22"/>
      <c r="K8" s="22"/>
      <c r="L8" s="23"/>
      <c r="M8" s="22"/>
      <c r="N8" s="22"/>
      <c r="O8" s="23"/>
      <c r="P8" s="19"/>
      <c r="Q8" s="24">
        <f>SUM(C8:O8)</f>
        <v>100000</v>
      </c>
    </row>
    <row r="9" spans="2:17" ht="15" customHeight="1" x14ac:dyDescent="0.45">
      <c r="B9" s="25" t="s">
        <v>10</v>
      </c>
      <c r="C9" s="26"/>
      <c r="D9" s="26"/>
      <c r="E9" s="27"/>
      <c r="F9" s="26"/>
      <c r="G9" s="26"/>
      <c r="H9" s="27"/>
      <c r="I9" s="26"/>
      <c r="J9" s="26"/>
      <c r="K9" s="26"/>
      <c r="L9" s="27"/>
      <c r="M9" s="26"/>
      <c r="N9" s="26"/>
      <c r="O9" s="27"/>
      <c r="P9" s="19"/>
      <c r="Q9" s="28">
        <f>SUM(C9:O9)</f>
        <v>0</v>
      </c>
    </row>
    <row r="10" spans="2:17" ht="1.5" customHeight="1" x14ac:dyDescent="0.45">
      <c r="B10" s="29"/>
      <c r="C10" s="30"/>
      <c r="D10" s="30"/>
      <c r="E10" s="31"/>
      <c r="F10" s="30"/>
      <c r="G10" s="30"/>
      <c r="H10" s="31"/>
      <c r="I10" s="30"/>
      <c r="J10" s="30"/>
      <c r="K10" s="30"/>
      <c r="L10" s="31"/>
      <c r="M10" s="30"/>
      <c r="N10" s="30"/>
      <c r="O10" s="31"/>
      <c r="P10" s="19"/>
      <c r="Q10" s="32"/>
    </row>
    <row r="11" spans="2:17" x14ac:dyDescent="0.45">
      <c r="B11" s="16" t="s">
        <v>11</v>
      </c>
      <c r="C11" s="17"/>
      <c r="D11" s="17">
        <f>4345.2+3744+12642+14520+12672+13728+11760+13680+2160+10800+11832+8268+11040+8052</f>
        <v>139243.20000000001</v>
      </c>
      <c r="E11" s="18">
        <f>11760+15840+15048+13728+15552+6960+10944+12642+9900+11880+13464+14784+13200+12480+6600+2100+8052+12720+10716+15840</f>
        <v>234210</v>
      </c>
      <c r="F11" s="17">
        <f>12936+12144+14520+15312+11880+5280+12000+13728+15312+10752+12600+25176+840+14706+10836+21090+12240+14784+982.8+15600+11880+6624+12600+11280+11400+11040+1260+13920+6000+11232+1392</f>
        <v>351346.8</v>
      </c>
      <c r="G11" s="17">
        <f>10800+125.52+13860+12720+600+12852+15600+11880+6600+10656+11760+13920+12480+14040+6588+20766+11556+14400+11400+7224+14400+10080+10584+10800+14256+14400+23184+12972+12000+6900</f>
        <v>349403.52</v>
      </c>
      <c r="H11" s="18">
        <f>12420+10080+12600+6900+4752+16146+15840+11136+11040+12000+6600+15180+13200+11520+14352+12054+13338+14628+11832+14352+15312+11628+12348+1651.2+7080+17940+840+14766+8052+2232+11352+15456+12960+16560+14076+9000+15120+10800+1440+12000+6600+11592+5700+10830</f>
        <v>485305.2</v>
      </c>
      <c r="I11" s="17">
        <f>7740+14490+13224+10488+12000+11856+6400.02+12540+9720+5550+6588+12084+12636+12960+11856+8736+8352+13338+12960+12540+840+21576+13110+10800+12198+11628+13876.8+12768+10260+1080+12144+8280+3480+10800+8448+5400+5700+10830+7560+9288</f>
        <v>406124.82</v>
      </c>
      <c r="J11" s="17">
        <f>9744+11100+11970+5520+228+1632+6300+10260+11856+18240+14820+12084+6762+12000+12540+8580+9936+11400+15444+11544+12096+22212+11136+10200+12198+6954+840+12744+12768+11400+14820+11628+12960+10260+4320+11592+12540+11880+2160+6600+4950+15444+13200+10200+10032</f>
        <v>467094</v>
      </c>
      <c r="K11" s="17">
        <v>492348</v>
      </c>
      <c r="L11" s="18"/>
      <c r="M11" s="17"/>
      <c r="N11" s="17"/>
      <c r="O11" s="18"/>
      <c r="P11" s="19"/>
      <c r="Q11" s="20">
        <f>SUM(C11:O11)</f>
        <v>2925075.54</v>
      </c>
    </row>
    <row r="12" spans="2:17" x14ac:dyDescent="0.45">
      <c r="B12" s="16" t="s">
        <v>12</v>
      </c>
      <c r="C12" s="17"/>
      <c r="D12" s="17"/>
      <c r="E12" s="18"/>
      <c r="F12" s="17"/>
      <c r="G12" s="17">
        <v>664</v>
      </c>
      <c r="H12" s="18"/>
      <c r="I12" s="17"/>
      <c r="J12" s="17"/>
      <c r="K12" s="17"/>
      <c r="L12" s="18"/>
      <c r="M12" s="17"/>
      <c r="N12" s="17"/>
      <c r="O12" s="18"/>
      <c r="P12" s="19"/>
      <c r="Q12" s="20">
        <f>SUM(C12:O12)</f>
        <v>664</v>
      </c>
    </row>
    <row r="13" spans="2:17" ht="14.65" thickBot="1" x14ac:dyDescent="0.5">
      <c r="B13" s="21" t="s">
        <v>13</v>
      </c>
      <c r="C13" s="22"/>
      <c r="D13" s="22"/>
      <c r="E13" s="23"/>
      <c r="F13" s="22"/>
      <c r="G13" s="22"/>
      <c r="H13" s="23"/>
      <c r="I13" s="22"/>
      <c r="J13" s="22"/>
      <c r="K13" s="22"/>
      <c r="L13" s="23"/>
      <c r="M13" s="22"/>
      <c r="N13" s="22"/>
      <c r="O13" s="23"/>
      <c r="P13" s="19"/>
      <c r="Q13" s="24">
        <f>SUM(C13:O13)</f>
        <v>0</v>
      </c>
    </row>
    <row r="14" spans="2:17" s="10" customFormat="1" ht="16.149999999999999" thickBot="1" x14ac:dyDescent="0.5">
      <c r="B14" s="33" t="s">
        <v>14</v>
      </c>
      <c r="C14" s="34">
        <f>SUM(C6:C13)</f>
        <v>10503.67</v>
      </c>
      <c r="D14" s="34">
        <f t="shared" ref="D14:O14" si="1">SUM(D6:D13)</f>
        <v>189243.2</v>
      </c>
      <c r="E14" s="34">
        <f t="shared" si="1"/>
        <v>284210</v>
      </c>
      <c r="F14" s="34">
        <f t="shared" si="1"/>
        <v>351346.8</v>
      </c>
      <c r="G14" s="34">
        <f t="shared" si="1"/>
        <v>350067.52</v>
      </c>
      <c r="H14" s="34">
        <f t="shared" si="1"/>
        <v>485305.2</v>
      </c>
      <c r="I14" s="34">
        <f t="shared" si="1"/>
        <v>406124.82</v>
      </c>
      <c r="J14" s="34">
        <f t="shared" si="1"/>
        <v>467094</v>
      </c>
      <c r="K14" s="34">
        <f t="shared" si="1"/>
        <v>492348</v>
      </c>
      <c r="L14" s="34">
        <f t="shared" si="1"/>
        <v>0</v>
      </c>
      <c r="M14" s="34">
        <f t="shared" si="1"/>
        <v>0</v>
      </c>
      <c r="N14" s="34">
        <f t="shared" si="1"/>
        <v>0</v>
      </c>
      <c r="O14" s="34">
        <f t="shared" si="1"/>
        <v>0</v>
      </c>
      <c r="P14" s="35"/>
      <c r="Q14" s="36">
        <f>SUM(C14:O14)</f>
        <v>3036243.21</v>
      </c>
    </row>
    <row r="15" spans="2:17" ht="14.65" thickBot="1" x14ac:dyDescent="0.5"/>
    <row r="16" spans="2:17" ht="16.149999999999999" thickBot="1" x14ac:dyDescent="0.55000000000000004">
      <c r="B16" s="37" t="s">
        <v>15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62"/>
    </row>
    <row r="17" spans="2:17" x14ac:dyDescent="0.45">
      <c r="B17" s="39" t="s">
        <v>16</v>
      </c>
      <c r="C17" s="43"/>
      <c r="D17" s="43">
        <v>35.33</v>
      </c>
      <c r="E17" s="43"/>
      <c r="F17" s="43"/>
      <c r="G17" s="43">
        <v>1.1100000000000001</v>
      </c>
      <c r="H17" s="43">
        <f>968+0.3+0.3+0.3+0.3+(0.3*25)+0.3+0.3+0.3</f>
        <v>977.59999999999968</v>
      </c>
      <c r="I17" s="43">
        <f>6</f>
        <v>6</v>
      </c>
      <c r="J17" s="43">
        <f>7.2+2750+2+12.3</f>
        <v>2771.5</v>
      </c>
      <c r="K17" s="43"/>
      <c r="L17" s="43"/>
      <c r="M17" s="43"/>
      <c r="N17" s="43"/>
      <c r="O17" s="43"/>
      <c r="P17" s="40"/>
      <c r="Q17" s="41">
        <f t="shared" ref="Q17:Q44" si="2">+SUM(C17:O17)</f>
        <v>3791.54</v>
      </c>
    </row>
    <row r="18" spans="2:17" x14ac:dyDescent="0.45">
      <c r="B18" s="42" t="s">
        <v>17</v>
      </c>
      <c r="C18" s="43"/>
      <c r="D18" s="43">
        <v>38.54</v>
      </c>
      <c r="E18" s="43">
        <v>38.54</v>
      </c>
      <c r="F18" s="43">
        <v>38.54</v>
      </c>
      <c r="G18" s="43">
        <v>38.54</v>
      </c>
      <c r="H18" s="43">
        <v>38.54</v>
      </c>
      <c r="I18" s="43">
        <v>38.54</v>
      </c>
      <c r="J18" s="43">
        <v>38.54</v>
      </c>
      <c r="K18" s="68">
        <v>38.54</v>
      </c>
      <c r="L18" s="43"/>
      <c r="M18" s="43"/>
      <c r="N18" s="43"/>
      <c r="O18" s="43"/>
      <c r="P18" s="40"/>
      <c r="Q18" s="41">
        <f t="shared" si="2"/>
        <v>308.32</v>
      </c>
    </row>
    <row r="19" spans="2:17" x14ac:dyDescent="0.45">
      <c r="B19" s="42" t="s">
        <v>18</v>
      </c>
      <c r="C19" s="43"/>
      <c r="D19" s="43"/>
      <c r="E19" s="43"/>
      <c r="F19" s="43">
        <v>3402</v>
      </c>
      <c r="G19" s="43"/>
      <c r="H19" s="43">
        <f>1260+60+252</f>
        <v>1572</v>
      </c>
      <c r="I19" s="43"/>
      <c r="J19" s="43">
        <f>126+60+756</f>
        <v>942</v>
      </c>
      <c r="K19" s="43"/>
      <c r="L19" s="43"/>
      <c r="M19" s="43"/>
      <c r="N19" s="43"/>
      <c r="O19" s="43"/>
      <c r="P19" s="40"/>
      <c r="Q19" s="41">
        <f t="shared" si="2"/>
        <v>5916</v>
      </c>
    </row>
    <row r="20" spans="2:17" x14ac:dyDescent="0.45">
      <c r="B20" s="42" t="s">
        <v>19</v>
      </c>
      <c r="C20" s="43"/>
      <c r="D20" s="43"/>
      <c r="E20" s="43"/>
      <c r="F20" s="43"/>
      <c r="G20" s="43"/>
      <c r="H20" s="43"/>
      <c r="I20" s="43">
        <v>4735.51</v>
      </c>
      <c r="J20" s="43"/>
      <c r="K20" s="43"/>
      <c r="L20" s="43"/>
      <c r="M20" s="43"/>
      <c r="N20" s="43"/>
      <c r="O20" s="43"/>
      <c r="P20" s="40"/>
      <c r="Q20" s="41">
        <f t="shared" si="2"/>
        <v>4735.51</v>
      </c>
    </row>
    <row r="21" spans="2:17" x14ac:dyDescent="0.45">
      <c r="B21" s="42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0"/>
      <c r="Q21" s="41">
        <f t="shared" si="2"/>
        <v>0</v>
      </c>
    </row>
    <row r="22" spans="2:17" x14ac:dyDescent="0.45">
      <c r="B22" s="42" t="s">
        <v>21</v>
      </c>
      <c r="C22" s="43"/>
      <c r="D22" s="43">
        <v>108</v>
      </c>
      <c r="E22" s="43">
        <v>216</v>
      </c>
      <c r="F22" s="43">
        <f>216+324</f>
        <v>540</v>
      </c>
      <c r="G22" s="43"/>
      <c r="H22" s="43">
        <v>324</v>
      </c>
      <c r="I22" s="43">
        <f>324+324</f>
        <v>648</v>
      </c>
      <c r="J22" s="43">
        <v>324</v>
      </c>
      <c r="K22" s="68">
        <v>324</v>
      </c>
      <c r="L22" s="43"/>
      <c r="M22" s="43"/>
      <c r="N22" s="43"/>
      <c r="O22" s="43"/>
      <c r="P22" s="40"/>
      <c r="Q22" s="41">
        <f t="shared" si="2"/>
        <v>2484</v>
      </c>
    </row>
    <row r="23" spans="2:17" x14ac:dyDescent="0.45"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7"/>
      <c r="P23" s="40"/>
      <c r="Q23" s="41">
        <f t="shared" si="2"/>
        <v>0</v>
      </c>
    </row>
    <row r="24" spans="2:17" x14ac:dyDescent="0.45">
      <c r="B24" s="44" t="s">
        <v>22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0"/>
      <c r="Q24" s="41">
        <f t="shared" si="2"/>
        <v>0</v>
      </c>
    </row>
    <row r="25" spans="2:17" x14ac:dyDescent="0.45">
      <c r="B25" s="45" t="s">
        <v>23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0"/>
      <c r="Q25" s="41">
        <f t="shared" si="2"/>
        <v>0</v>
      </c>
    </row>
    <row r="26" spans="2:17" x14ac:dyDescent="0.45">
      <c r="B26" s="45" t="s">
        <v>24</v>
      </c>
      <c r="C26" s="43"/>
      <c r="D26" s="43"/>
      <c r="E26" s="43">
        <v>6600</v>
      </c>
      <c r="F26" s="43">
        <v>6600</v>
      </c>
      <c r="G26" s="43"/>
      <c r="H26" s="43"/>
      <c r="I26" s="43">
        <f>12000+12000</f>
        <v>24000</v>
      </c>
      <c r="J26" s="43">
        <f>12000</f>
        <v>12000</v>
      </c>
      <c r="K26" s="43">
        <v>12000</v>
      </c>
      <c r="L26" s="43"/>
      <c r="M26" s="43"/>
      <c r="N26" s="43"/>
      <c r="O26" s="43"/>
      <c r="P26" s="40"/>
      <c r="Q26" s="41">
        <f t="shared" si="2"/>
        <v>61200</v>
      </c>
    </row>
    <row r="27" spans="2:17" ht="15" customHeight="1" x14ac:dyDescent="0.45">
      <c r="B27" s="45" t="s">
        <v>25</v>
      </c>
      <c r="C27" s="43"/>
      <c r="D27" s="43">
        <f>43.06+104.3+11.7+1.2+38.7+10.95+43.06</f>
        <v>252.96999999999997</v>
      </c>
      <c r="E27" s="43">
        <f>50.5+173+62+26.3+40.7+43+1.2+243+12.05</f>
        <v>651.75</v>
      </c>
      <c r="F27" s="43">
        <f>1.2+439+664+235.5</f>
        <v>1339.7</v>
      </c>
      <c r="G27" s="43">
        <f>55.37+1.2</f>
        <v>56.57</v>
      </c>
      <c r="H27" s="43">
        <f>53.82+7.16+1.28+1.2+23+5+7.16+46.7</f>
        <v>145.32</v>
      </c>
      <c r="I27" s="43">
        <f>36.9+22.98+8.5+5.99+12+1.2+54+33.8</f>
        <v>175.37</v>
      </c>
      <c r="J27" s="43">
        <f>4.32+5.14+47.38+1.2+3.37</f>
        <v>61.410000000000004</v>
      </c>
      <c r="K27" s="43"/>
      <c r="L27" s="43"/>
      <c r="M27" s="43"/>
      <c r="N27" s="43"/>
      <c r="O27" s="43"/>
      <c r="P27" s="40"/>
      <c r="Q27" s="41">
        <f t="shared" si="2"/>
        <v>2683.09</v>
      </c>
    </row>
    <row r="28" spans="2:17" ht="15" customHeight="1" x14ac:dyDescent="0.45">
      <c r="B28" s="21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0"/>
      <c r="Q28" s="41">
        <f t="shared" si="2"/>
        <v>0</v>
      </c>
    </row>
    <row r="29" spans="2:17" x14ac:dyDescent="0.45">
      <c r="B29" s="46" t="s">
        <v>26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0"/>
      <c r="Q29" s="41">
        <f t="shared" si="2"/>
        <v>0</v>
      </c>
    </row>
    <row r="30" spans="2:17" x14ac:dyDescent="0.45">
      <c r="B30" s="46" t="s">
        <v>27</v>
      </c>
      <c r="C30" s="43"/>
      <c r="D30" s="43"/>
      <c r="E30" s="43"/>
      <c r="F30" s="43"/>
      <c r="G30" s="43"/>
      <c r="H30" s="43">
        <v>28803</v>
      </c>
      <c r="I30" s="43"/>
      <c r="J30" s="43"/>
      <c r="K30" s="43">
        <v>150651</v>
      </c>
      <c r="L30" s="43"/>
      <c r="M30" s="43"/>
      <c r="N30" s="43"/>
      <c r="O30" s="43"/>
      <c r="P30" s="40"/>
      <c r="Q30" s="41">
        <f t="shared" si="2"/>
        <v>179454</v>
      </c>
    </row>
    <row r="31" spans="2:17" x14ac:dyDescent="0.45">
      <c r="B31" s="46" t="s">
        <v>28</v>
      </c>
      <c r="C31" s="43"/>
      <c r="D31" s="43"/>
      <c r="E31" s="43">
        <f>3900+6600</f>
        <v>10500</v>
      </c>
      <c r="F31" s="43">
        <f>2352+8550+13728+6600+12000</f>
        <v>43230</v>
      </c>
      <c r="G31" s="43">
        <f>9675+13728+12000+840+6600+1629.6+3500+6116.2</f>
        <v>54088.799999999996</v>
      </c>
      <c r="H31" s="43">
        <f>12000+8550+4656+1260+5400+14300+1080+12480+5350.94+10800+840+6600+5354.4</f>
        <v>88671.34</v>
      </c>
      <c r="I31" s="43">
        <f>840+5400+4306.8+1080</f>
        <v>11626.8</v>
      </c>
      <c r="J31" s="43">
        <f>2505+4050+4423.2+840+5700</f>
        <v>17518.2</v>
      </c>
      <c r="K31" s="43">
        <v>3600</v>
      </c>
      <c r="L31" s="43"/>
      <c r="M31" s="43"/>
      <c r="N31" s="43"/>
      <c r="O31" s="43"/>
      <c r="P31" s="40"/>
      <c r="Q31" s="41">
        <f t="shared" si="2"/>
        <v>229235.13999999998</v>
      </c>
    </row>
    <row r="32" spans="2:17" x14ac:dyDescent="0.45">
      <c r="B32" s="21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0"/>
      <c r="Q32" s="41">
        <f t="shared" si="2"/>
        <v>0</v>
      </c>
    </row>
    <row r="33" spans="2:17" x14ac:dyDescent="0.45">
      <c r="B33" s="47" t="s">
        <v>29</v>
      </c>
      <c r="C33" s="43"/>
      <c r="D33" s="43">
        <f>5393.45+6963.42+3603.05+3845.76+4748.71+4800.83+4588.27+2682.2+4198.99+5330.69+4953.25+4540.36+5793.2+5737.17+5210.66+4871.86+5603.31+5622.89+5371.28+4740.09+4975.84+5889.62+4938.15+6612.4+4856.96</f>
        <v>125872.40999999999</v>
      </c>
      <c r="E33" s="43">
        <f>4740.09+4856.96+5889.62+4938.15+4975.84+6612.4+5371.28+3973.24+3724.6+6025.8+4996.03+2281.82+5393.45+3845.76+5055.27+4800.83+5737.17+5622.89+4198.99+4953.25+4544.7+5603.31+5330.69+5793.2+6962.33+5093.08+4841.69+4507.46+262.04+527.68+5217.98</f>
        <v>146677.6</v>
      </c>
      <c r="F33" s="43">
        <f>6962.33+5393.45+3973.24+3845.76+5093.08+5055.27+6025.8+4740.09+4800.83+4841.69+4856.96+5889.62+5622.89+4996.03+4938.15+5217.98+4198.99+6612.4+4953.25+4507.46+5371.28+5603.31+5330.69+5793.2+2535.12+4727.68+6072.82+3883.63+4592.51+4598.44+5457.37+5680.68+4846.9+1931.4+6227.2</f>
        <v>175177.5</v>
      </c>
      <c r="G33" s="43">
        <f>5393.45+4727.68+5093.08+5055.27+4800.83+4740.09+4841.69+4856.96+5889.62+5622.89+4996.03+4938.15+4198.99+6612.4+4953.25+4507.46+4598.44+5457.37+5371.28+5603.31+5330.69+5680.68+4846.9+1931.4+5793.2+2425.58+5962.33+5503.4+4529.47+2739.21+3890.93+5681.23+5524.33+5488.5+5307.33+7098.73</f>
        <v>179992.14999999997</v>
      </c>
      <c r="H33" s="43">
        <f>4800.83+4841.69+4856.96+5889.62+5622.89+4996.03+4938.15+5524.33+5488.5+7098.73+4198.99+4953.25+5307.33+4507.46+5457.37+5603.31+4846.9+5793.2+5393.45+4727.68+3890.93+5093.08+5681.23+4740.09+5555.27+3974.59+5301.98+4897.87+5680.68+1931.4+4598.44+5330.69+5960.71+5503.4+4529.47</f>
        <v>177516.49999999997</v>
      </c>
      <c r="I33" s="43">
        <f>5889.28+139.22+9222.1+5503.4+5393.45+4529.47+4727.68+5093.08+5555.27+5681.23+4740.09+4800.83+4841.69+4856.96+4996.03+4938.15+5524.33+4198.99+5307.33+4953.25+4507.46+4598.44+5457.37+5330.69+5680.68+4846.9+5921.5+5836.46+6167.99+7098.73+4799.57+4466.41+3801.71+1983.43+5783.4+4750.97+2865.45</f>
        <v>184788.99000000002</v>
      </c>
      <c r="J33" s="43">
        <f>151.94+5268.84+2372.9+7578.02+5581.61+4545.24+5119.8+5465.35+5064.82+4802.84+5737.77+5681.23+4689.38+3123.25+5173.91+5401.22+2376.16+5921.5+4529.47+4727.68+5555.27+4841.69+6167.99+4198.99+5307.33+4953.25+4507.46+5457.37+5680.68+4846.9+5364.26+1983.43+5066.59+5520.07+4569.12+4705.37+4796.95+5755.76+4994.98+5466.95+5058.16+4580.12+5241.99</f>
        <v>207933.61000000004</v>
      </c>
      <c r="K33" s="68">
        <v>202072.16</v>
      </c>
      <c r="L33" s="43"/>
      <c r="M33" s="43"/>
      <c r="N33" s="43"/>
      <c r="O33" s="43"/>
      <c r="P33" s="40"/>
      <c r="Q33" s="41">
        <f t="shared" si="2"/>
        <v>1400030.92</v>
      </c>
    </row>
    <row r="34" spans="2:17" x14ac:dyDescent="0.45">
      <c r="B34" s="48" t="s">
        <v>30</v>
      </c>
      <c r="C34" s="43"/>
      <c r="D34" s="43"/>
      <c r="E34" s="43">
        <f>474.88+480.49+592.03+171.86+398.2+981.2+534.82+358.4+457.84+771.66+193.56</f>
        <v>5414.9400000000005</v>
      </c>
      <c r="F34" s="43">
        <f>597+440.8+500.52+118.98+248.14+568.6+313+118.98+384+892+301.71+586.2+649.54+358.4+338.56+720+671.55+491.92+553.17+279.33+308.82+291.7+592.03+892+212.2+158.64+384+372.9+610.51+710.6+345.48+474.88</f>
        <v>14486.16</v>
      </c>
      <c r="G34" s="43"/>
      <c r="H34" s="43">
        <f>597.42+441.09+328.14+247.8+219.95+544.31+257.08+893+324.58+153.34+384.24+324.91+711.12+331.2+369.28+441.09+473.32+217.3+259.94+470.26+289.12+893+312.76+167.28+294.48+287.43+518.13+358.4+423.14+597.42+261.5</f>
        <v>12392.029999999999</v>
      </c>
      <c r="I34" s="43">
        <f>675.96+236+494.94+390.36+643.05+516.06+1034+300.94+181.22+646.79+344.8+476.99</f>
        <v>5941.1100000000006</v>
      </c>
      <c r="J34" s="43">
        <f>264.22+319.91+506.98+374.89+623.6+244.5+279.93+459.04+154.53+299.92+569+364.77+940+277.3+421.3+167.28+471.28+337.41+389.48+290.4+279.52+261.57</f>
        <v>8296.83</v>
      </c>
      <c r="K34" s="68">
        <v>7580</v>
      </c>
      <c r="L34" s="43"/>
      <c r="M34" s="43"/>
      <c r="N34" s="43"/>
      <c r="O34" s="43"/>
      <c r="P34" s="40"/>
      <c r="Q34" s="41">
        <f t="shared" si="2"/>
        <v>54111.07</v>
      </c>
    </row>
    <row r="35" spans="2:17" x14ac:dyDescent="0.45">
      <c r="B35" s="48" t="s">
        <v>31</v>
      </c>
      <c r="C35" s="43"/>
      <c r="D35" s="43"/>
      <c r="E35" s="43">
        <v>6000</v>
      </c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0"/>
      <c r="Q35" s="41">
        <f t="shared" si="2"/>
        <v>6000</v>
      </c>
    </row>
    <row r="36" spans="2:17" x14ac:dyDescent="0.45">
      <c r="B36" s="48" t="s">
        <v>32</v>
      </c>
      <c r="C36" s="43"/>
      <c r="D36" s="43">
        <f>781.25+253.06+1528+1199.99+39.98+1479+25</f>
        <v>5306.2800000000007</v>
      </c>
      <c r="E36" s="43">
        <f>1609+1609+1990</f>
        <v>5208</v>
      </c>
      <c r="F36" s="43">
        <f>118.8+15+55.2+1179+583.2+31.83</f>
        <v>1983.03</v>
      </c>
      <c r="G36" s="43">
        <f>104.6+3945.73</f>
        <v>4050.33</v>
      </c>
      <c r="H36" s="43">
        <f>20+20</f>
        <v>40</v>
      </c>
      <c r="I36" s="43">
        <f>599+1139+159.99+1479+449</f>
        <v>3825.99</v>
      </c>
      <c r="J36" s="43">
        <f>202.9+20.99+129.99</f>
        <v>353.88</v>
      </c>
      <c r="K36" s="43"/>
      <c r="L36" s="43"/>
      <c r="M36" s="43"/>
      <c r="N36" s="43"/>
      <c r="O36" s="43"/>
      <c r="P36" s="40"/>
      <c r="Q36" s="41">
        <f t="shared" si="2"/>
        <v>20767.509999999998</v>
      </c>
    </row>
    <row r="37" spans="2:17" x14ac:dyDescent="0.45">
      <c r="B37" s="48" t="s">
        <v>33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0"/>
      <c r="Q37" s="41">
        <f t="shared" si="2"/>
        <v>0</v>
      </c>
    </row>
    <row r="38" spans="2:17" x14ac:dyDescent="0.45">
      <c r="B38" s="48" t="s">
        <v>34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0"/>
      <c r="Q38" s="41">
        <f t="shared" si="2"/>
        <v>0</v>
      </c>
    </row>
    <row r="39" spans="2:17" x14ac:dyDescent="0.45">
      <c r="B39" s="49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0"/>
      <c r="Q39" s="41">
        <f t="shared" si="2"/>
        <v>0</v>
      </c>
    </row>
    <row r="40" spans="2:17" x14ac:dyDescent="0.45">
      <c r="B40" s="50" t="s">
        <v>35</v>
      </c>
      <c r="C40" s="43"/>
      <c r="D40" s="43">
        <v>28761</v>
      </c>
      <c r="E40" s="43">
        <v>54110</v>
      </c>
      <c r="F40" s="43">
        <v>63309</v>
      </c>
      <c r="G40" s="43">
        <v>74800</v>
      </c>
      <c r="H40" s="43">
        <v>78001</v>
      </c>
      <c r="I40" s="43">
        <f>76370+106</f>
        <v>76476</v>
      </c>
      <c r="J40" s="43">
        <v>79639</v>
      </c>
      <c r="K40" s="43">
        <v>86808</v>
      </c>
      <c r="L40" s="43"/>
      <c r="M40" s="43"/>
      <c r="N40" s="43"/>
      <c r="O40" s="43"/>
      <c r="P40" s="40"/>
      <c r="Q40" s="41">
        <f t="shared" si="2"/>
        <v>541904</v>
      </c>
    </row>
    <row r="41" spans="2:17" x14ac:dyDescent="0.45">
      <c r="B41" s="51" t="s">
        <v>36</v>
      </c>
      <c r="C41" s="43"/>
      <c r="D41" s="43">
        <f>1277.47+6157.76+11138.54</f>
        <v>18573.77</v>
      </c>
      <c r="E41" s="43"/>
      <c r="F41" s="43"/>
      <c r="G41" s="43">
        <f>23275.27+19960.77+27554.87</f>
        <v>70790.91</v>
      </c>
      <c r="H41" s="43">
        <v>28854.48</v>
      </c>
      <c r="I41" s="43">
        <v>28890.51</v>
      </c>
      <c r="J41" s="43">
        <v>30338.22</v>
      </c>
      <c r="K41" s="43">
        <v>33083.82</v>
      </c>
      <c r="L41" s="43"/>
      <c r="M41" s="43"/>
      <c r="N41" s="43"/>
      <c r="O41" s="43"/>
      <c r="P41" s="40"/>
      <c r="Q41" s="41">
        <f t="shared" si="2"/>
        <v>210531.71000000002</v>
      </c>
    </row>
    <row r="42" spans="2:17" x14ac:dyDescent="0.45">
      <c r="B42" s="51" t="s">
        <v>37</v>
      </c>
      <c r="C42" s="43"/>
      <c r="D42" s="43"/>
      <c r="E42" s="43">
        <v>1568.6</v>
      </c>
      <c r="F42" s="43"/>
      <c r="G42" s="43"/>
      <c r="H42" s="43">
        <v>6634.62</v>
      </c>
      <c r="I42" s="43"/>
      <c r="J42" s="43"/>
      <c r="K42" s="43"/>
      <c r="L42" s="43"/>
      <c r="M42" s="43"/>
      <c r="N42" s="43"/>
      <c r="O42" s="43"/>
      <c r="P42" s="40"/>
      <c r="Q42" s="41">
        <f t="shared" si="2"/>
        <v>8203.2199999999993</v>
      </c>
    </row>
    <row r="43" spans="2:17" x14ac:dyDescent="0.45">
      <c r="B43" s="51" t="s">
        <v>38</v>
      </c>
      <c r="C43" s="43"/>
      <c r="D43" s="43">
        <v>1597.65</v>
      </c>
      <c r="E43" s="43"/>
      <c r="F43" s="43"/>
      <c r="G43" s="43"/>
      <c r="H43" s="43">
        <v>6466.56</v>
      </c>
      <c r="I43" s="43"/>
      <c r="J43" s="43"/>
      <c r="K43" s="43"/>
      <c r="L43" s="43"/>
      <c r="M43" s="43"/>
      <c r="N43" s="43"/>
      <c r="O43" s="43"/>
      <c r="P43" s="40"/>
      <c r="Q43" s="41">
        <f t="shared" si="2"/>
        <v>8064.2100000000009</v>
      </c>
    </row>
    <row r="44" spans="2:17" ht="14.65" thickBot="1" x14ac:dyDescent="0.5">
      <c r="B44" s="51" t="s">
        <v>39</v>
      </c>
      <c r="C44" s="43"/>
      <c r="D44" s="43">
        <v>4576</v>
      </c>
      <c r="E44" s="43">
        <v>8270</v>
      </c>
      <c r="F44" s="43">
        <v>9325</v>
      </c>
      <c r="G44" s="43">
        <f>9753</f>
        <v>9753</v>
      </c>
      <c r="H44" s="43">
        <v>11236</v>
      </c>
      <c r="I44" s="43">
        <v>12193</v>
      </c>
      <c r="J44" s="43">
        <v>13276</v>
      </c>
      <c r="K44" s="43">
        <v>15847.82</v>
      </c>
      <c r="L44" s="43"/>
      <c r="M44" s="43"/>
      <c r="N44" s="43"/>
      <c r="O44" s="43"/>
      <c r="P44" s="40"/>
      <c r="Q44" s="41">
        <f t="shared" si="2"/>
        <v>84476.82</v>
      </c>
    </row>
    <row r="45" spans="2:17" ht="16.149999999999999" thickBot="1" x14ac:dyDescent="0.55000000000000004">
      <c r="B45" s="52" t="s">
        <v>40</v>
      </c>
      <c r="C45" s="53">
        <f>+SUM(C17:C44)</f>
        <v>0</v>
      </c>
      <c r="D45" s="53">
        <f t="shared" ref="D45:O45" si="3">+SUM(D17:D44)</f>
        <v>185121.94999999998</v>
      </c>
      <c r="E45" s="53">
        <f t="shared" si="3"/>
        <v>245255.43000000002</v>
      </c>
      <c r="F45" s="53">
        <f t="shared" si="3"/>
        <v>319430.93</v>
      </c>
      <c r="G45" s="53">
        <f t="shared" si="3"/>
        <v>393571.40999999992</v>
      </c>
      <c r="H45" s="53">
        <f t="shared" si="3"/>
        <v>441672.98999999993</v>
      </c>
      <c r="I45" s="53">
        <f t="shared" si="3"/>
        <v>353345.82</v>
      </c>
      <c r="J45" s="53">
        <f t="shared" si="3"/>
        <v>373493.19000000006</v>
      </c>
      <c r="K45" s="53">
        <f t="shared" si="3"/>
        <v>512005.34</v>
      </c>
      <c r="L45" s="53">
        <f t="shared" si="3"/>
        <v>0</v>
      </c>
      <c r="M45" s="53">
        <f t="shared" si="3"/>
        <v>0</v>
      </c>
      <c r="N45" s="53">
        <f t="shared" si="3"/>
        <v>0</v>
      </c>
      <c r="O45" s="53">
        <f t="shared" si="3"/>
        <v>0</v>
      </c>
      <c r="P45" s="54"/>
      <c r="Q45" s="55">
        <f>+SUM(C45:O45)</f>
        <v>2823897.06</v>
      </c>
    </row>
    <row r="46" spans="2:17" ht="14.65" thickBot="1" x14ac:dyDescent="0.5">
      <c r="B46" s="56"/>
      <c r="C46" s="57"/>
      <c r="D46" s="57"/>
      <c r="E46" s="57"/>
      <c r="F46" s="57"/>
      <c r="G46" s="57"/>
      <c r="H46" s="57"/>
      <c r="I46" s="57"/>
      <c r="J46" s="57"/>
      <c r="K46" s="57"/>
      <c r="M46" s="57"/>
      <c r="N46" s="57"/>
      <c r="P46" s="40"/>
    </row>
    <row r="47" spans="2:17" ht="15.75" x14ac:dyDescent="0.5">
      <c r="B47" s="63" t="s">
        <v>41</v>
      </c>
      <c r="C47" s="58">
        <f>C14-C45</f>
        <v>10503.67</v>
      </c>
      <c r="D47" s="58">
        <f t="shared" ref="D47:O47" si="4">D14-D45</f>
        <v>4121.2500000000291</v>
      </c>
      <c r="E47" s="58">
        <f t="shared" si="4"/>
        <v>38954.569999999978</v>
      </c>
      <c r="F47" s="58">
        <f t="shared" si="4"/>
        <v>31915.869999999995</v>
      </c>
      <c r="G47" s="58">
        <f t="shared" si="4"/>
        <v>-43503.889999999898</v>
      </c>
      <c r="H47" s="58">
        <f t="shared" si="4"/>
        <v>43632.210000000079</v>
      </c>
      <c r="I47" s="58">
        <f t="shared" si="4"/>
        <v>52779</v>
      </c>
      <c r="J47" s="58">
        <f t="shared" si="4"/>
        <v>93600.809999999939</v>
      </c>
      <c r="K47" s="58">
        <f t="shared" si="4"/>
        <v>-19657.340000000026</v>
      </c>
      <c r="L47" s="58">
        <f t="shared" si="4"/>
        <v>0</v>
      </c>
      <c r="M47" s="58">
        <f t="shared" si="4"/>
        <v>0</v>
      </c>
      <c r="N47" s="58">
        <f t="shared" si="4"/>
        <v>0</v>
      </c>
      <c r="O47" s="58">
        <f t="shared" si="4"/>
        <v>0</v>
      </c>
      <c r="P47" s="59"/>
      <c r="Q47" s="60">
        <f>Q14-Q45</f>
        <v>212346.14999999991</v>
      </c>
    </row>
    <row r="48" spans="2:17" ht="16.149999999999999" thickBot="1" x14ac:dyDescent="0.55000000000000004">
      <c r="B48" s="64" t="s">
        <v>42</v>
      </c>
      <c r="C48" s="58">
        <f>C47</f>
        <v>10503.67</v>
      </c>
      <c r="D48" s="58">
        <f>C48+D47</f>
        <v>14624.920000000029</v>
      </c>
      <c r="E48" s="58">
        <f t="shared" ref="E48:O48" si="5">D48+E47</f>
        <v>53579.490000000005</v>
      </c>
      <c r="F48" s="58">
        <f t="shared" si="5"/>
        <v>85495.360000000001</v>
      </c>
      <c r="G48" s="58">
        <f t="shared" si="5"/>
        <v>41991.470000000103</v>
      </c>
      <c r="H48" s="58">
        <f t="shared" si="5"/>
        <v>85623.680000000182</v>
      </c>
      <c r="I48" s="58">
        <f t="shared" si="5"/>
        <v>138402.68000000017</v>
      </c>
      <c r="J48" s="58">
        <f t="shared" si="5"/>
        <v>232003.49000000011</v>
      </c>
      <c r="K48" s="58">
        <f t="shared" si="5"/>
        <v>212346.15000000008</v>
      </c>
      <c r="L48" s="58">
        <f t="shared" si="5"/>
        <v>212346.15000000008</v>
      </c>
      <c r="M48" s="58">
        <f t="shared" si="5"/>
        <v>212346.15000000008</v>
      </c>
      <c r="N48" s="58">
        <f t="shared" si="5"/>
        <v>212346.15000000008</v>
      </c>
      <c r="O48" s="58">
        <f t="shared" si="5"/>
        <v>212346.15000000008</v>
      </c>
      <c r="P48" s="59"/>
      <c r="Q48" s="60"/>
    </row>
  </sheetData>
  <mergeCells count="1">
    <mergeCell ref="B2:C3"/>
  </mergeCells>
  <conditionalFormatting sqref="C47:Q48">
    <cfRule type="cellIs" dxfId="15" priority="1" operator="lessThan">
      <formula>0</formula>
    </cfRule>
    <cfRule type="cellIs" dxfId="14" priority="2" operator="greaterThan">
      <formula>0</formula>
    </cfRule>
  </conditionalFormatting>
  <conditionalFormatting sqref="Q45">
    <cfRule type="cellIs" dxfId="13" priority="3" operator="greaterThan">
      <formula>0</formula>
    </cfRule>
    <cfRule type="cellIs" dxfId="12" priority="4" operator="less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Réel 2023</vt:lpstr>
      <vt:lpstr>Estimation Janv</vt:lpstr>
      <vt:lpstr>Estimation Fév</vt:lpstr>
      <vt:lpstr>Estimation Mars</vt:lpstr>
      <vt:lpstr>Estimation Avril</vt:lpstr>
      <vt:lpstr>Estimation Mai</vt:lpstr>
      <vt:lpstr>Estimation Juin</vt:lpstr>
      <vt:lpstr>Estimation Juillet</vt:lpstr>
      <vt:lpstr>Estimation Août</vt:lpstr>
      <vt:lpstr>Estimation Septembre</vt:lpstr>
      <vt:lpstr>Estimation Octobre</vt:lpstr>
      <vt:lpstr>Estimation Novembre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youss</dc:creator>
  <cp:lastModifiedBy>Olfa TRIGUI</cp:lastModifiedBy>
  <dcterms:created xsi:type="dcterms:W3CDTF">2023-01-05T11:45:53Z</dcterms:created>
  <dcterms:modified xsi:type="dcterms:W3CDTF">2023-11-03T15:52:56Z</dcterms:modified>
</cp:coreProperties>
</file>