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B6C95516-B012-4B69-8230-48A40B6420F3}" xr6:coauthVersionLast="47" xr6:coauthVersionMax="47" xr10:uidLastSave="{00000000-0000-0000-0000-000000000000}"/>
  <bookViews>
    <workbookView xWindow="-98" yWindow="-98" windowWidth="22695" windowHeight="14476" activeTab="4" xr2:uid="{00000000-000D-0000-FFFF-FFFF00000000}"/>
  </bookViews>
  <sheets>
    <sheet name="2022" sheetId="12" r:id="rId1"/>
    <sheet name="2023" sheetId="14" r:id="rId2"/>
    <sheet name="2024" sheetId="15" r:id="rId3"/>
    <sheet name="Params" sheetId="10" r:id="rId4"/>
    <sheet name="Synthése" sheetId="13" r:id="rId5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'2022'!#REF!</definedName>
    <definedName name="FRAIS_KM" localSheetId="1">'2023'!#REF!</definedName>
    <definedName name="FRAIS_KM" localSheetId="2">'2024'!#REF!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'2022'!#REF!</definedName>
    <definedName name="NOMBRE_KM" localSheetId="1">'2023'!#REF!</definedName>
    <definedName name="NOMBRE_KM" localSheetId="2">'2024'!#REF!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'2022'!$B$29</definedName>
    <definedName name="SOLDE" localSheetId="1">'2023'!$B$30</definedName>
    <definedName name="SOLDE" localSheetId="2">'2024'!$B$30</definedName>
    <definedName name="SORTIES" localSheetId="0">'2022'!$B$21</definedName>
    <definedName name="SORTIES" localSheetId="1">'2023'!$B$21</definedName>
    <definedName name="SORTIES" localSheetId="2">'2024'!$B$21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 localSheetId="2">'2024'!$B$23</definedName>
    <definedName name="SORTIES_CHARGES_SOCIALES_PATRONALES">#REF!</definedName>
    <definedName name="SORTIES_FRAIS_KM" localSheetId="0">'2022'!#REF!</definedName>
    <definedName name="SORTIES_FRAIS_KM" localSheetId="1">'2023'!$B$24</definedName>
    <definedName name="SORTIES_FRAIS_KM" localSheetId="2">'2024'!#REF!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 localSheetId="2">'2024'!$B$22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'2023'!$B$19</definedName>
    <definedName name="TOTAL_ENTREES" localSheetId="2">'2024'!$B$19</definedName>
    <definedName name="TOTAL_ENTREES">#REF!</definedName>
    <definedName name="TOTAL_SORTIES" localSheetId="0">'2022'!$B$25</definedName>
    <definedName name="TOTAL_SORTIES" localSheetId="1">'2023'!$B$26</definedName>
    <definedName name="TOTAL_SORTIES" localSheetId="2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E26" i="15" l="1"/>
  <c r="K30" i="15"/>
  <c r="J30" i="15"/>
  <c r="P28" i="15"/>
  <c r="N26" i="15"/>
  <c r="M26" i="15"/>
  <c r="L26" i="15"/>
  <c r="K26" i="15"/>
  <c r="J26" i="15"/>
  <c r="I26" i="15"/>
  <c r="H26" i="15"/>
  <c r="G26" i="15"/>
  <c r="F26" i="15"/>
  <c r="P25" i="15"/>
  <c r="P24" i="15"/>
  <c r="P23" i="15"/>
  <c r="E23" i="15"/>
  <c r="D23" i="15"/>
  <c r="D26" i="15" s="1"/>
  <c r="C23" i="15"/>
  <c r="C26" i="15" s="1"/>
  <c r="P22" i="15"/>
  <c r="N19" i="15"/>
  <c r="N30" i="15" s="1"/>
  <c r="M19" i="15"/>
  <c r="M30" i="15" s="1"/>
  <c r="L19" i="15"/>
  <c r="L30" i="15" s="1"/>
  <c r="K19" i="15"/>
  <c r="J19" i="15"/>
  <c r="I19" i="15"/>
  <c r="I30" i="15" s="1"/>
  <c r="H19" i="15"/>
  <c r="H30" i="15" s="1"/>
  <c r="G19" i="15"/>
  <c r="G30" i="15" s="1"/>
  <c r="F19" i="15"/>
  <c r="F30" i="15" s="1"/>
  <c r="E19" i="15"/>
  <c r="D19" i="15"/>
  <c r="C19" i="15"/>
  <c r="P19" i="15" s="1"/>
  <c r="P18" i="15"/>
  <c r="E17" i="15"/>
  <c r="D17" i="15"/>
  <c r="P17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H26" i="14"/>
  <c r="G26" i="14"/>
  <c r="P25" i="14"/>
  <c r="P24" i="14"/>
  <c r="N23" i="14"/>
  <c r="N26" i="14" s="1"/>
  <c r="M23" i="14"/>
  <c r="M26" i="14" s="1"/>
  <c r="L23" i="14"/>
  <c r="L26" i="14" s="1"/>
  <c r="K23" i="14"/>
  <c r="K26" i="14" s="1"/>
  <c r="J23" i="14"/>
  <c r="J26" i="14" s="1"/>
  <c r="I23" i="14"/>
  <c r="I26" i="14" s="1"/>
  <c r="H23" i="14"/>
  <c r="G23" i="14"/>
  <c r="F23" i="14"/>
  <c r="F26" i="14" s="1"/>
  <c r="E23" i="14"/>
  <c r="E26" i="14" s="1"/>
  <c r="D23" i="14"/>
  <c r="D26" i="14" s="1"/>
  <c r="C23" i="14"/>
  <c r="C26" i="14" s="1"/>
  <c r="P22" i="14"/>
  <c r="M19" i="14"/>
  <c r="M30" i="14" s="1"/>
  <c r="L19" i="14"/>
  <c r="E19" i="14"/>
  <c r="E30" i="14" s="1"/>
  <c r="D19" i="14"/>
  <c r="P18" i="14"/>
  <c r="N17" i="14"/>
  <c r="N19" i="14" s="1"/>
  <c r="N30" i="14" s="1"/>
  <c r="M17" i="14"/>
  <c r="L17" i="14"/>
  <c r="K17" i="14"/>
  <c r="K19" i="14" s="1"/>
  <c r="K30" i="14" s="1"/>
  <c r="J17" i="14"/>
  <c r="J19" i="14" s="1"/>
  <c r="J30" i="14" s="1"/>
  <c r="I17" i="14"/>
  <c r="I19" i="14" s="1"/>
  <c r="I30" i="14" s="1"/>
  <c r="H17" i="14"/>
  <c r="H19" i="14" s="1"/>
  <c r="H30" i="14" s="1"/>
  <c r="G17" i="14"/>
  <c r="G19" i="14" s="1"/>
  <c r="G30" i="14" s="1"/>
  <c r="F17" i="14"/>
  <c r="F19" i="14" s="1"/>
  <c r="F30" i="14" s="1"/>
  <c r="E17" i="14"/>
  <c r="D17" i="14"/>
  <c r="C17" i="14"/>
  <c r="C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J29" i="12"/>
  <c r="P27" i="12"/>
  <c r="P28" i="14" s="1"/>
  <c r="L25" i="12"/>
  <c r="K25" i="12"/>
  <c r="J25" i="12"/>
  <c r="I25" i="12"/>
  <c r="H25" i="12"/>
  <c r="G25" i="12"/>
  <c r="F25" i="12"/>
  <c r="E25" i="12"/>
  <c r="E29" i="12" s="1"/>
  <c r="D25" i="12"/>
  <c r="C25" i="12"/>
  <c r="P24" i="12"/>
  <c r="N23" i="12"/>
  <c r="P23" i="12" s="1"/>
  <c r="M23" i="12"/>
  <c r="M25" i="12" s="1"/>
  <c r="L23" i="12"/>
  <c r="P22" i="12"/>
  <c r="L19" i="12"/>
  <c r="L29" i="12" s="1"/>
  <c r="K19" i="12"/>
  <c r="K29" i="12" s="1"/>
  <c r="J19" i="12"/>
  <c r="I19" i="12"/>
  <c r="I29" i="12" s="1"/>
  <c r="H19" i="12"/>
  <c r="H29" i="12" s="1"/>
  <c r="G19" i="12"/>
  <c r="G29" i="12" s="1"/>
  <c r="F19" i="12"/>
  <c r="F29" i="12" s="1"/>
  <c r="E19" i="12"/>
  <c r="D19" i="12"/>
  <c r="D29" i="12" s="1"/>
  <c r="C19" i="12"/>
  <c r="P19" i="12" s="1"/>
  <c r="P18" i="12"/>
  <c r="N17" i="12"/>
  <c r="N19" i="12" s="1"/>
  <c r="M17" i="12"/>
  <c r="M19" i="12" s="1"/>
  <c r="L17" i="12"/>
  <c r="P17" i="12" s="1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L30" i="14" l="1"/>
  <c r="M29" i="12"/>
  <c r="P19" i="14"/>
  <c r="C30" i="14"/>
  <c r="D30" i="15"/>
  <c r="P26" i="14"/>
  <c r="E30" i="15"/>
  <c r="D30" i="14"/>
  <c r="P26" i="15"/>
  <c r="C30" i="15"/>
  <c r="C29" i="12"/>
  <c r="P23" i="14"/>
  <c r="P17" i="14"/>
  <c r="N25" i="12"/>
  <c r="P25" i="12" s="1"/>
  <c r="N29" i="12" l="1"/>
  <c r="P29" i="12" s="1"/>
  <c r="P30" i="15"/>
  <c r="P30" i="14"/>
  <c r="C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youss</author>
  </authors>
  <commentList>
    <comment ref="M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versé dans le salaire</t>
        </r>
      </text>
    </comment>
    <comment ref="N24" authorId="1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(astreinte) : 600 en décembre et 300 en janvier et 300 en février du salaire</t>
        </r>
      </text>
    </comment>
    <comment ref="N27" authorId="1" shapeId="0" xr:uid="{00000000-0006-0000-0000-000003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slaire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PC-HOUDA</author>
  </authors>
  <commentList>
    <comment ref="F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G1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I1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
</t>
        </r>
      </text>
    </comment>
    <comment ref="J18" authorId="1" shapeId="0" xr:uid="{C31988E2-7D16-4200-9401-8108C1A5899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8" authorId="1" shapeId="0" xr:uid="{B341B155-65EB-463C-B0DA-23901CE823A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N24" authorId="1" shapeId="0" xr:uid="{15AA6F9A-6218-47E4-AB1B-DC58A1D06A2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Avance sur salaire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24" authorId="0" shapeId="0" xr:uid="{FD487F4F-064E-4A51-8409-FD689B3E6D2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a remboursé a partir du févier 2024 (500 Euro par mois)</t>
        </r>
      </text>
    </comment>
  </commentList>
</comments>
</file>

<file path=xl/sharedStrings.xml><?xml version="1.0" encoding="utf-8"?>
<sst xmlns="http://schemas.openxmlformats.org/spreadsheetml/2006/main" count="114" uniqueCount="43">
  <si>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</si>
  <si>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</si>
  <si>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</si>
  <si>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</si>
  <si>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</si>
  <si>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</si>
  <si>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</si>
  <si>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</si>
  <si>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</si>
  <si>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</si>
  <si>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</si>
  <si>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</si>
  <si>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</si>
  <si>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</si>
  <si>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</si>
  <si>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</si>
  <si>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</si>
  <si>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</si>
  <si>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</si>
  <si>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</si>
  <si>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</si>
  <si>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</si>
  <si>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</si>
  <si>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</si>
  <si>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</si>
  <si>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</si>
  <si>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</si>
  <si>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</si>
  <si>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</si>
  <si>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</si>
  <si>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</si>
  <si>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</si>
  <si>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</si>
  <si>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</si>
  <si>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</si>
  <si>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</si>
  <si>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</si>
  <si>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</si>
  <si>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Acompte Versé</t>
  </si>
  <si>
    <t>Acompte Remboursé</t>
  </si>
  <si>
    <t>TJM (Octobre 2022)</t>
  </si>
  <si>
    <t>Frais Achats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</si>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</sst>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1" fontId="9" fillId="0" borderId="10" xfId="0" applyNumberFormat="1" applyFont="1" applyBorder="1"/>
    <xf numFmtId="4" fontId="4" fillId="11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4" fontId="4" fillId="0" borderId="2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9"/>
  <sheetViews>
    <sheetView topLeftCell="D1" workbookViewId="0">
      <selection activeCell="E36" sqref="E3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7" t="s">
        <v>9</v>
      </c>
    </row>
    <row r="2" spans="2:16" x14ac:dyDescent="0.45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>
        <v>19</v>
      </c>
      <c r="M6" s="37">
        <v>19</v>
      </c>
      <c r="N6" s="37">
        <v>19</v>
      </c>
      <c r="O6" s="36"/>
      <c r="P6" s="57">
        <f>SUM(C6:N6)</f>
        <v>57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>
        <v>21</v>
      </c>
      <c r="M7" s="37">
        <v>20</v>
      </c>
      <c r="N7" s="37">
        <v>22</v>
      </c>
      <c r="O7" s="36"/>
      <c r="P7" s="57">
        <f>SUM(C7:N7)</f>
        <v>63</v>
      </c>
    </row>
    <row r="8" spans="2:16" x14ac:dyDescent="0.45">
      <c r="B8" s="18" t="s">
        <v>22</v>
      </c>
      <c r="C8" s="61">
        <f t="shared" ref="C8:N8" si="0">C7-C6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2</v>
      </c>
      <c r="M8" s="61">
        <f t="shared" si="0"/>
        <v>1</v>
      </c>
      <c r="N8" s="61">
        <f t="shared" si="0"/>
        <v>3</v>
      </c>
      <c r="O8" s="36"/>
      <c r="P8" s="57">
        <f>SUM(C8:N8)</f>
        <v>6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v>21</v>
      </c>
      <c r="M11" s="11">
        <v>20</v>
      </c>
      <c r="N11" s="11">
        <v>22</v>
      </c>
      <c r="P11" s="58">
        <f>SUM(C11:N11)</f>
        <v>63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2</v>
      </c>
      <c r="N14" s="23"/>
      <c r="P14" s="58">
        <f>SUM(C14:N14)</f>
        <v>2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>
        <f>L11*Params!$C$5*(1-Params!$C$3)-Params!$C$4</f>
        <v>8619</v>
      </c>
      <c r="M17" s="10">
        <f>M11*Params!$C$5*(1-Params!$C$3)-Params!$C$4</f>
        <v>8205</v>
      </c>
      <c r="N17" s="10">
        <f>N11*Params!$C$5*(1-Params!$C$3)-Params!$C$4</f>
        <v>9033</v>
      </c>
      <c r="O17" s="4"/>
      <c r="P17" s="41">
        <f>SUM(C17:N17)</f>
        <v>25857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v>1800</v>
      </c>
      <c r="N18" s="10"/>
      <c r="O18" s="4"/>
      <c r="P18" s="41">
        <f>SUM(C18:N18)</f>
        <v>1800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8619</v>
      </c>
      <c r="M19" s="28">
        <f t="shared" si="1"/>
        <v>10005</v>
      </c>
      <c r="N19" s="28">
        <f t="shared" si="1"/>
        <v>9033</v>
      </c>
      <c r="O19" s="5"/>
      <c r="P19" s="42">
        <f>SUM(C19:O19)</f>
        <v>27657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>
        <v>5031.58</v>
      </c>
      <c r="M22" s="10">
        <v>5039.75</v>
      </c>
      <c r="N22" s="10">
        <v>5009.2700000000004</v>
      </c>
      <c r="O22" s="4"/>
      <c r="P22" s="43">
        <f>SUM(C22:N22)</f>
        <v>15080.6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f>1023.51+1731.41</f>
        <v>2754.92</v>
      </c>
      <c r="M23" s="10">
        <f>1024.46+1734.08</f>
        <v>2758.54</v>
      </c>
      <c r="N23" s="10">
        <f>1152.62+1936.74</f>
        <v>3089.3599999999997</v>
      </c>
      <c r="O23" s="4"/>
      <c r="P23" s="43">
        <f>SUM(C23:N23)</f>
        <v>8602.82</v>
      </c>
    </row>
    <row r="24" spans="2:16" x14ac:dyDescent="0.45">
      <c r="B24" s="54" t="s">
        <v>38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62">
        <v>1200</v>
      </c>
      <c r="O24" s="4"/>
      <c r="P24" s="43">
        <f>SUM(C24:N24)</f>
        <v>1200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7786.5</v>
      </c>
      <c r="M25" s="44">
        <f t="shared" si="2"/>
        <v>7798.29</v>
      </c>
      <c r="N25" s="44">
        <f t="shared" si="2"/>
        <v>9298.630000000001</v>
      </c>
      <c r="O25" s="4"/>
      <c r="P25" s="60">
        <f>SUM(C25:N25)</f>
        <v>24883.420000000002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63" t="s">
        <v>39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>
        <v>600</v>
      </c>
      <c r="P27" s="65">
        <f>SUM(C27:N27)</f>
        <v>600</v>
      </c>
    </row>
    <row r="28" spans="2:16" x14ac:dyDescent="0.4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5">
      <c r="B29" s="46" t="s">
        <v>36</v>
      </c>
      <c r="C29" s="47">
        <f t="shared" ref="C29:N29" si="3">C19-C25</f>
        <v>0</v>
      </c>
      <c r="D29" s="47">
        <f t="shared" si="3"/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832.5</v>
      </c>
      <c r="M29" s="47">
        <f t="shared" si="3"/>
        <v>2206.71</v>
      </c>
      <c r="N29" s="47">
        <f t="shared" si="3"/>
        <v>-265.63000000000102</v>
      </c>
      <c r="P29" s="59">
        <f>SUM(C29:O29)</f>
        <v>2773.579999999999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0"/>
  <sheetViews>
    <sheetView topLeftCell="C1" workbookViewId="0">
      <selection activeCell="L22" sqref="L22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7" t="s">
        <v>9</v>
      </c>
    </row>
    <row r="2" spans="2:16" x14ac:dyDescent="0.45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228</v>
      </c>
    </row>
    <row r="7" spans="2:16" x14ac:dyDescent="0.45">
      <c r="B7" s="9" t="s">
        <v>21</v>
      </c>
      <c r="C7" s="37">
        <v>22</v>
      </c>
      <c r="D7" s="37">
        <v>20</v>
      </c>
      <c r="E7" s="37">
        <v>20</v>
      </c>
      <c r="F7" s="37">
        <v>19</v>
      </c>
      <c r="G7" s="37">
        <v>23</v>
      </c>
      <c r="H7" s="37">
        <v>22</v>
      </c>
      <c r="I7" s="37">
        <v>21</v>
      </c>
      <c r="J7" s="37">
        <v>23</v>
      </c>
      <c r="K7" s="37">
        <v>21</v>
      </c>
      <c r="L7" s="37">
        <v>22</v>
      </c>
      <c r="M7" s="37">
        <v>19</v>
      </c>
      <c r="N7" s="37">
        <v>20</v>
      </c>
      <c r="O7" s="36"/>
      <c r="P7" s="57">
        <f>SUM(C7:N7)</f>
        <v>252</v>
      </c>
    </row>
    <row r="8" spans="2:16" x14ac:dyDescent="0.45">
      <c r="B8" s="18" t="s">
        <v>22</v>
      </c>
      <c r="C8" s="61">
        <f t="shared" ref="C8:N8" si="0">C7-C6</f>
        <v>3</v>
      </c>
      <c r="D8" s="61">
        <f t="shared" si="0"/>
        <v>1</v>
      </c>
      <c r="E8" s="61">
        <f t="shared" si="0"/>
        <v>1</v>
      </c>
      <c r="F8" s="61">
        <f t="shared" si="0"/>
        <v>0</v>
      </c>
      <c r="G8" s="61">
        <f t="shared" si="0"/>
        <v>4</v>
      </c>
      <c r="H8" s="61">
        <f t="shared" si="0"/>
        <v>3</v>
      </c>
      <c r="I8" s="61">
        <f t="shared" si="0"/>
        <v>2</v>
      </c>
      <c r="J8" s="61">
        <f t="shared" si="0"/>
        <v>4</v>
      </c>
      <c r="K8" s="61">
        <f t="shared" si="0"/>
        <v>2</v>
      </c>
      <c r="L8" s="61">
        <f t="shared" si="0"/>
        <v>3</v>
      </c>
      <c r="M8" s="61">
        <f t="shared" si="0"/>
        <v>0</v>
      </c>
      <c r="N8" s="61">
        <f t="shared" si="0"/>
        <v>1</v>
      </c>
      <c r="O8" s="36"/>
      <c r="P8" s="57">
        <f>SUM(C8:N8)</f>
        <v>24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>
        <v>20</v>
      </c>
      <c r="F11" s="11">
        <v>19</v>
      </c>
      <c r="G11" s="11">
        <v>19</v>
      </c>
      <c r="H11" s="11">
        <v>22</v>
      </c>
      <c r="I11" s="11">
        <v>21</v>
      </c>
      <c r="J11" s="11">
        <v>22</v>
      </c>
      <c r="K11" s="11">
        <v>21</v>
      </c>
      <c r="L11" s="11">
        <v>22</v>
      </c>
      <c r="M11" s="11">
        <v>19</v>
      </c>
      <c r="N11" s="11">
        <v>20</v>
      </c>
      <c r="P11" s="58">
        <f>SUM(C11:N11)</f>
        <v>247</v>
      </c>
    </row>
    <row r="12" spans="2:16" x14ac:dyDescent="0.45">
      <c r="B12" s="9" t="s">
        <v>16</v>
      </c>
      <c r="C12" s="12"/>
      <c r="D12" s="12"/>
      <c r="E12" s="12">
        <v>3</v>
      </c>
      <c r="F12" s="12"/>
      <c r="G12" s="12"/>
      <c r="H12" s="12"/>
      <c r="I12" s="12"/>
      <c r="J12" s="12"/>
      <c r="K12" s="12"/>
      <c r="L12" s="12"/>
      <c r="M12" s="12">
        <v>2</v>
      </c>
      <c r="N12" s="12"/>
      <c r="P12" s="58">
        <f>SUM(C12:N12)</f>
        <v>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>
        <v>1</v>
      </c>
      <c r="G14" s="23">
        <v>4</v>
      </c>
      <c r="H14" s="23"/>
      <c r="I14" s="23">
        <v>1</v>
      </c>
      <c r="J14" s="23">
        <v>1</v>
      </c>
      <c r="K14" s="23"/>
      <c r="L14" s="23"/>
      <c r="M14" s="23">
        <v>1</v>
      </c>
      <c r="N14" s="23"/>
      <c r="P14" s="58">
        <f>SUM(C14:N14)</f>
        <v>8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9033</v>
      </c>
      <c r="D17" s="10">
        <f>D11*Params!$C$5*(1-Params!$C$3)-Params!$C$4</f>
        <v>8205</v>
      </c>
      <c r="E17" s="10">
        <f>E11*Params!$C$5*(1-Params!$C$3)-Params!$C$4</f>
        <v>8205</v>
      </c>
      <c r="F17" s="10">
        <f>F11*Params!$C$5*(1-Params!$C$3)-Params!$C$4</f>
        <v>7791</v>
      </c>
      <c r="G17" s="10">
        <f>G11*Params!$C$5*(1-Params!$C$3)-Params!$C$4</f>
        <v>7791</v>
      </c>
      <c r="H17" s="10">
        <f>H11*Params!$C$5*(1-Params!$C$3)-Params!$C$4</f>
        <v>9033</v>
      </c>
      <c r="I17" s="10">
        <f>I11*Params!$C$5*(1-Params!$C$3)-Params!$C$4</f>
        <v>8619</v>
      </c>
      <c r="J17" s="10">
        <f>J11*Params!$C$5*(1-Params!$C$3)-Params!$C$4</f>
        <v>9033</v>
      </c>
      <c r="K17" s="10">
        <f>K11*Params!$C$5*(1-Params!$C$3)-Params!$C$4</f>
        <v>8619</v>
      </c>
      <c r="L17" s="10">
        <f>L11*Params!$C$5*(1-Params!$C$3)-Params!$C$4</f>
        <v>9033</v>
      </c>
      <c r="M17" s="10">
        <f>M11*Params!$C$5*(1-Params!$C$3)-Params!$C$4</f>
        <v>7791</v>
      </c>
      <c r="N17" s="10">
        <f>N11*Params!$C$5*(1-Params!$C$3)-Params!$C$4</f>
        <v>8205</v>
      </c>
      <c r="O17" s="4"/>
      <c r="P17" s="41">
        <f>SUM(C17:N17)</f>
        <v>101358</v>
      </c>
    </row>
    <row r="18" spans="2:16" x14ac:dyDescent="0.45">
      <c r="B18" s="9" t="s">
        <v>15</v>
      </c>
      <c r="C18" s="10"/>
      <c r="D18" s="10"/>
      <c r="E18" s="10"/>
      <c r="F18" s="10">
        <v>900</v>
      </c>
      <c r="G18" s="10">
        <v>3600</v>
      </c>
      <c r="H18" s="10"/>
      <c r="I18" s="10">
        <v>900</v>
      </c>
      <c r="J18" s="10">
        <v>900</v>
      </c>
      <c r="K18" s="10"/>
      <c r="L18" s="10"/>
      <c r="M18" s="10">
        <v>900</v>
      </c>
      <c r="N18" s="10"/>
      <c r="O18" s="4"/>
      <c r="P18" s="41">
        <f>SUM(C18:N18)</f>
        <v>7200</v>
      </c>
    </row>
    <row r="19" spans="2:16" x14ac:dyDescent="0.45">
      <c r="B19" s="27" t="s">
        <v>2</v>
      </c>
      <c r="C19" s="28">
        <f t="shared" ref="C19:N19" si="1">SUM(C17:C18)</f>
        <v>9033</v>
      </c>
      <c r="D19" s="28">
        <f t="shared" si="1"/>
        <v>8205</v>
      </c>
      <c r="E19" s="28">
        <f t="shared" si="1"/>
        <v>8205</v>
      </c>
      <c r="F19" s="28">
        <f t="shared" si="1"/>
        <v>8691</v>
      </c>
      <c r="G19" s="28">
        <f t="shared" si="1"/>
        <v>11391</v>
      </c>
      <c r="H19" s="28">
        <f t="shared" si="1"/>
        <v>9033</v>
      </c>
      <c r="I19" s="28">
        <f t="shared" si="1"/>
        <v>9519</v>
      </c>
      <c r="J19" s="28">
        <f t="shared" si="1"/>
        <v>9933</v>
      </c>
      <c r="K19" s="28">
        <f t="shared" si="1"/>
        <v>8619</v>
      </c>
      <c r="L19" s="28">
        <f t="shared" si="1"/>
        <v>9033</v>
      </c>
      <c r="M19" s="28">
        <f t="shared" si="1"/>
        <v>8691</v>
      </c>
      <c r="N19" s="28">
        <f t="shared" si="1"/>
        <v>8205</v>
      </c>
      <c r="O19" s="5"/>
      <c r="P19" s="42">
        <f>SUM(C19:N19)</f>
        <v>108558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5017.92</v>
      </c>
      <c r="D22" s="10">
        <v>5022.84</v>
      </c>
      <c r="E22" s="10">
        <v>5043.62</v>
      </c>
      <c r="F22" s="10">
        <v>5043.62</v>
      </c>
      <c r="G22" s="10">
        <v>5043.62</v>
      </c>
      <c r="H22" s="10">
        <v>5043.62</v>
      </c>
      <c r="I22" s="10">
        <v>5043.62</v>
      </c>
      <c r="J22" s="10">
        <v>5043.62</v>
      </c>
      <c r="K22" s="10">
        <v>5043.62</v>
      </c>
      <c r="L22" s="10">
        <v>7543.62</v>
      </c>
      <c r="M22" s="10">
        <v>5043.62</v>
      </c>
      <c r="N22" s="10">
        <v>5043.62</v>
      </c>
      <c r="O22" s="4"/>
      <c r="P22" s="43">
        <f>SUM(C22:N22)</f>
        <v>62976.960000000014</v>
      </c>
    </row>
    <row r="23" spans="2:16" x14ac:dyDescent="0.45">
      <c r="B23" s="9" t="s">
        <v>8</v>
      </c>
      <c r="C23" s="10">
        <f>1091.2+1834.21</f>
        <v>2925.41</v>
      </c>
      <c r="D23" s="10">
        <f>1092.28+1835.95</f>
        <v>2928.23</v>
      </c>
      <c r="E23" s="10">
        <f>1029.5+1736.67</f>
        <v>2766.17</v>
      </c>
      <c r="F23" s="10">
        <f>1029.5+1744.56</f>
        <v>2774.06</v>
      </c>
      <c r="G23" s="10">
        <f>1029.5+1739.17</f>
        <v>2768.67</v>
      </c>
      <c r="H23" s="10">
        <f t="shared" ref="H23:M23" si="2">1029.5+1737.92</f>
        <v>2767.42</v>
      </c>
      <c r="I23" s="10">
        <f t="shared" si="2"/>
        <v>2767.42</v>
      </c>
      <c r="J23" s="10">
        <f t="shared" si="2"/>
        <v>2767.42</v>
      </c>
      <c r="K23" s="10">
        <f t="shared" si="2"/>
        <v>2767.42</v>
      </c>
      <c r="L23" s="10">
        <f t="shared" si="2"/>
        <v>2767.42</v>
      </c>
      <c r="M23" s="10">
        <f t="shared" si="2"/>
        <v>2767.42</v>
      </c>
      <c r="N23" s="10">
        <f>1029.5+1743.17</f>
        <v>2772.67</v>
      </c>
      <c r="O23" s="4"/>
      <c r="P23" s="43">
        <f>SUM(C23:N23)</f>
        <v>33539.729999999989</v>
      </c>
    </row>
    <row r="24" spans="2:16" x14ac:dyDescent="0.45">
      <c r="B24" s="54" t="s">
        <v>38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3500</v>
      </c>
      <c r="K24" s="10">
        <v>0</v>
      </c>
      <c r="L24" s="10">
        <v>0</v>
      </c>
      <c r="M24" s="10">
        <v>0</v>
      </c>
      <c r="N24" s="10">
        <v>500</v>
      </c>
      <c r="O24" s="4"/>
      <c r="P24" s="43">
        <f>SUM(C24:N24)</f>
        <v>4000</v>
      </c>
    </row>
    <row r="25" spans="2:16" x14ac:dyDescent="0.45">
      <c r="B25" s="54" t="s">
        <v>41</v>
      </c>
      <c r="C25" s="55"/>
      <c r="D25" s="55">
        <v>1340.83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4"/>
      <c r="P25" s="43">
        <f>SUM(C25:N25)</f>
        <v>1340.83</v>
      </c>
    </row>
    <row r="26" spans="2:16" x14ac:dyDescent="0.45">
      <c r="B26" s="8" t="s">
        <v>3</v>
      </c>
      <c r="C26" s="44">
        <f t="shared" ref="C26:N26" si="3">SUM(C22:C25)</f>
        <v>7943.33</v>
      </c>
      <c r="D26" s="44">
        <f t="shared" si="3"/>
        <v>9291.9</v>
      </c>
      <c r="E26" s="44">
        <f t="shared" si="3"/>
        <v>7809.79</v>
      </c>
      <c r="F26" s="44">
        <f t="shared" si="3"/>
        <v>7817.68</v>
      </c>
      <c r="G26" s="44">
        <f t="shared" si="3"/>
        <v>7812.29</v>
      </c>
      <c r="H26" s="44">
        <f t="shared" si="3"/>
        <v>7811.04</v>
      </c>
      <c r="I26" s="44">
        <f t="shared" si="3"/>
        <v>7811.04</v>
      </c>
      <c r="J26" s="44">
        <f t="shared" si="3"/>
        <v>11311.04</v>
      </c>
      <c r="K26" s="44">
        <f t="shared" si="3"/>
        <v>7811.04</v>
      </c>
      <c r="L26" s="44">
        <f t="shared" si="3"/>
        <v>10311.040000000001</v>
      </c>
      <c r="M26" s="44">
        <f t="shared" si="3"/>
        <v>7811.04</v>
      </c>
      <c r="N26" s="44">
        <f t="shared" si="3"/>
        <v>8316.2900000000009</v>
      </c>
      <c r="O26" s="4"/>
      <c r="P26" s="60">
        <f>SUM(C26:N26)</f>
        <v>101857.51999999999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63" t="s">
        <v>39</v>
      </c>
      <c r="C28" s="64">
        <v>300</v>
      </c>
      <c r="D28" s="64">
        <v>300</v>
      </c>
      <c r="E28" s="64"/>
      <c r="F28" s="64"/>
      <c r="G28" s="64"/>
      <c r="H28" s="64"/>
      <c r="I28" s="64"/>
      <c r="J28" s="64">
        <v>3500</v>
      </c>
      <c r="K28" s="64"/>
      <c r="L28" s="64"/>
      <c r="M28" s="64"/>
      <c r="N28" s="64"/>
      <c r="P28" s="65">
        <f>SUM(C28:N28)+'2022'!P27</f>
        <v>4700</v>
      </c>
    </row>
    <row r="29" spans="2:16" x14ac:dyDescent="0.45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45">
      <c r="B30" s="46" t="s">
        <v>36</v>
      </c>
      <c r="C30" s="47">
        <f t="shared" ref="C30:N30" si="4">C19-C26</f>
        <v>1089.67</v>
      </c>
      <c r="D30" s="47">
        <f t="shared" si="4"/>
        <v>-1086.8999999999996</v>
      </c>
      <c r="E30" s="47">
        <f t="shared" si="4"/>
        <v>395.21000000000004</v>
      </c>
      <c r="F30" s="47">
        <f t="shared" si="4"/>
        <v>873.31999999999971</v>
      </c>
      <c r="G30" s="47">
        <f t="shared" si="4"/>
        <v>3578.71</v>
      </c>
      <c r="H30" s="47">
        <f t="shared" si="4"/>
        <v>1221.96</v>
      </c>
      <c r="I30" s="47">
        <f t="shared" si="4"/>
        <v>1707.96</v>
      </c>
      <c r="J30" s="47">
        <f t="shared" si="4"/>
        <v>-1378.0400000000009</v>
      </c>
      <c r="K30" s="47">
        <f t="shared" si="4"/>
        <v>807.96</v>
      </c>
      <c r="L30" s="47">
        <f t="shared" si="4"/>
        <v>-1278.0400000000009</v>
      </c>
      <c r="M30" s="47">
        <f t="shared" si="4"/>
        <v>879.96</v>
      </c>
      <c r="N30" s="47">
        <f t="shared" si="4"/>
        <v>-111.29000000000087</v>
      </c>
      <c r="P30" s="59">
        <f>SUM(C30:N30)</f>
        <v>6700.4799999999977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752FB-6A54-4C60-B2D0-9C6C75914976}">
  <dimension ref="B1:P30"/>
  <sheetViews>
    <sheetView topLeftCell="B1" workbookViewId="0">
      <selection activeCell="E27" sqref="E2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7" t="s">
        <v>9</v>
      </c>
    </row>
    <row r="2" spans="2:16" x14ac:dyDescent="0.45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57</v>
      </c>
    </row>
    <row r="7" spans="2:16" x14ac:dyDescent="0.45">
      <c r="B7" s="9" t="s">
        <v>21</v>
      </c>
      <c r="C7" s="37">
        <v>22</v>
      </c>
      <c r="D7" s="37">
        <v>20</v>
      </c>
      <c r="E7" s="37">
        <v>20</v>
      </c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62</v>
      </c>
    </row>
    <row r="8" spans="2:16" x14ac:dyDescent="0.45">
      <c r="B8" s="18" t="s">
        <v>22</v>
      </c>
      <c r="C8" s="61">
        <f t="shared" ref="C8:N8" si="0">C7-C6</f>
        <v>3</v>
      </c>
      <c r="D8" s="61">
        <f t="shared" si="0"/>
        <v>1</v>
      </c>
      <c r="E8" s="61">
        <f t="shared" si="0"/>
        <v>1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36"/>
      <c r="P8" s="57">
        <f>SUM(C8:N8)</f>
        <v>5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>
        <v>20</v>
      </c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62</v>
      </c>
    </row>
    <row r="12" spans="2:16" x14ac:dyDescent="0.45">
      <c r="B12" s="9" t="s">
        <v>16</v>
      </c>
      <c r="C12" s="12"/>
      <c r="D12" s="12">
        <v>1</v>
      </c>
      <c r="E12" s="12">
        <v>1</v>
      </c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2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9033</v>
      </c>
      <c r="D17" s="10">
        <f>D11*Params!$C$5*(1-Params!$C$3)-Params!$C$4</f>
        <v>8205</v>
      </c>
      <c r="E17" s="10">
        <f>E11*Params!$C$5*(1-Params!$C$3)-Params!$C$4</f>
        <v>8205</v>
      </c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25443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9033</v>
      </c>
      <c r="D19" s="28">
        <f t="shared" si="1"/>
        <v>8205</v>
      </c>
      <c r="E19" s="28">
        <f t="shared" si="1"/>
        <v>8205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25443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5456.47</v>
      </c>
      <c r="D22" s="10">
        <v>4956.47</v>
      </c>
      <c r="E22" s="10">
        <v>4956.47</v>
      </c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15369.41</v>
      </c>
    </row>
    <row r="23" spans="2:16" x14ac:dyDescent="0.45">
      <c r="B23" s="9" t="s">
        <v>8</v>
      </c>
      <c r="C23" s="10">
        <f>1123.62+1899.92</f>
        <v>3023.54</v>
      </c>
      <c r="D23" s="10">
        <f>1123.62+1899.92</f>
        <v>3023.54</v>
      </c>
      <c r="E23" s="10">
        <f>1123.62+1902.56</f>
        <v>3026.18</v>
      </c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9073.26</v>
      </c>
    </row>
    <row r="24" spans="2:16" x14ac:dyDescent="0.45">
      <c r="B24" s="54" t="s">
        <v>38</v>
      </c>
      <c r="C24" s="55">
        <v>3000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66"/>
      <c r="O24" s="4"/>
      <c r="P24" s="43">
        <f>SUM(C24:N24)</f>
        <v>3000</v>
      </c>
    </row>
    <row r="25" spans="2:16" x14ac:dyDescent="0.45">
      <c r="B25" s="9" t="s">
        <v>42</v>
      </c>
      <c r="C25" s="10"/>
      <c r="D25" s="10"/>
      <c r="E25" s="10">
        <v>1232.5</v>
      </c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1232.5</v>
      </c>
    </row>
    <row r="26" spans="2:16" x14ac:dyDescent="0.45">
      <c r="B26" s="8" t="s">
        <v>3</v>
      </c>
      <c r="C26" s="44">
        <f>SUM(C22:C24)</f>
        <v>11480.01</v>
      </c>
      <c r="D26" s="44">
        <f>SUM(D22:D24)</f>
        <v>7980.01</v>
      </c>
      <c r="E26" s="44">
        <f>SUM(E22:E25)</f>
        <v>9215.15</v>
      </c>
      <c r="F26" s="44">
        <f t="shared" ref="F26:N26" si="2">SUM(F22:F25)</f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28675.17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63" t="s">
        <v>39</v>
      </c>
      <c r="C28" s="64"/>
      <c r="D28" s="64">
        <v>500</v>
      </c>
      <c r="E28" s="64"/>
      <c r="F28" s="64"/>
      <c r="G28" s="64"/>
      <c r="H28" s="64"/>
      <c r="I28" s="64"/>
      <c r="J28" s="64"/>
      <c r="K28" s="64"/>
      <c r="L28" s="64"/>
      <c r="M28" s="64"/>
      <c r="N28" s="64"/>
      <c r="P28" s="65">
        <f>SUM(C28:N28)</f>
        <v>500</v>
      </c>
    </row>
    <row r="29" spans="2:16" x14ac:dyDescent="0.45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45">
      <c r="B30" s="46" t="s">
        <v>36</v>
      </c>
      <c r="C30" s="47">
        <f t="shared" ref="C30:N30" si="3">C19-C26</f>
        <v>-2447.0100000000002</v>
      </c>
      <c r="D30" s="47">
        <f t="shared" si="3"/>
        <v>224.98999999999978</v>
      </c>
      <c r="E30" s="47">
        <f t="shared" si="3"/>
        <v>-1010.1499999999996</v>
      </c>
      <c r="F30" s="47">
        <f t="shared" si="3"/>
        <v>0</v>
      </c>
      <c r="G30" s="47">
        <f t="shared" si="3"/>
        <v>0</v>
      </c>
      <c r="H30" s="47">
        <f t="shared" si="3"/>
        <v>0</v>
      </c>
      <c r="I30" s="47">
        <f t="shared" si="3"/>
        <v>0</v>
      </c>
      <c r="J30" s="47">
        <f t="shared" si="3"/>
        <v>0</v>
      </c>
      <c r="K30" s="47">
        <f t="shared" si="3"/>
        <v>0</v>
      </c>
      <c r="L30" s="47">
        <f t="shared" si="3"/>
        <v>0</v>
      </c>
      <c r="M30" s="47">
        <f t="shared" si="3"/>
        <v>0</v>
      </c>
      <c r="N30" s="47">
        <f t="shared" si="3"/>
        <v>0</v>
      </c>
      <c r="P30" s="59">
        <f>SUM(C30:O30)</f>
        <v>-3232.17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B16" sqref="B1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9" t="s">
        <v>23</v>
      </c>
      <c r="C2" s="70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40</v>
      </c>
      <c r="C5" s="33">
        <v>450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tabSelected="1"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1" t="s">
        <v>33</v>
      </c>
      <c r="C2" s="71"/>
    </row>
    <row r="3" spans="2:3" ht="16.899999999999999" customHeight="1" x14ac:dyDescent="0.45">
      <c r="B3" s="38" t="s">
        <v>34</v>
      </c>
      <c r="C3" s="39">
        <f>SUM('2022'!P29,'2023'!P30)+('2024'!P30)</f>
        <v>6241.8899999999976</v>
      </c>
    </row>
    <row r="4" spans="2:3" ht="16.899999999999999" customHeight="1" x14ac:dyDescent="0.45">
      <c r="B4" s="38" t="s">
        <v>37</v>
      </c>
      <c r="C4" s="40">
        <f>'2022'!P12+'2023'!P12+'2024'!P12</f>
        <v>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97</vt:i4>
      </vt:variant>
    </vt:vector>
  </HeadingPairs>
  <TitlesOfParts>
    <vt:vector size="102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'2023'!SORTIES_FRAIS_KM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2024-04-04T03:07:25Z</dcterms:modified>
</cp:coreProperties>
</file>