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'2023'!$B$37</definedName>
    <definedName name="FRAIS_KM">#REF!</definedName>
    <definedName name="FRAIS_KM_FIXE" localSheetId="0">'2023'!$B$37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'2023'!$B$36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'2023'!$B$34</definedName>
    <definedName name="SOLDE">#REF!</definedName>
    <definedName name="SORTIES" localSheetId="0">'2023'!$B$21</definedName>
    <definedName name="SORTIES">#REF!</definedName>
    <definedName name="SORTIES_ABONDEMENT_CSG_CRDS" localSheetId="0">'2023'!$B$26</definedName>
    <definedName name="SORTIES_ABONDEMENT_CSG_CRDS">#REF!</definedName>
    <definedName name="SORTIES_ABONDEMENT_NET" localSheetId="0">'2023'!$B$25</definedName>
    <definedName name="SORTIES_ABONDEMENT_NET">#REF!</definedName>
    <definedName name="SORTIES_ACHATS_HT" localSheetId="0">'2023'!$B$30</definedName>
    <definedName name="SORTIES_ACHATS_HT">#REF!</definedName>
    <definedName name="SORTIES_CHARGES_SOCIALES_PATRONALES" localSheetId="0">'2023'!$B$28</definedName>
    <definedName name="SORTIES_CHARGES_SOCIALES_PATRONALES">#REF!</definedName>
    <definedName name="SORTIES_FRAIS_KM" localSheetId="0">'2023'!$B$29</definedName>
    <definedName name="SORTIES_FRAIS_KM">#REF!</definedName>
    <definedName name="SORTIES_FRAIS_PEE_AMUNDI" localSheetId="0">'2023'!$B$27</definedName>
    <definedName name="SORTIES_FRAIS_PEE_AMUNDI">#REF!</definedName>
    <definedName name="SORTIES_I_CSG_CRDS" localSheetId="0">'2023'!$B$26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'2023'!$B$32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P37" i="15" l="1"/>
  <c r="P36" i="15"/>
  <c r="N34" i="15"/>
  <c r="M34" i="15"/>
  <c r="L34" i="15"/>
  <c r="N32" i="15"/>
  <c r="M32" i="15"/>
  <c r="L32" i="15"/>
  <c r="K32" i="15"/>
  <c r="J32" i="15"/>
  <c r="I32" i="15"/>
  <c r="H32" i="15"/>
  <c r="P31" i="15"/>
  <c r="P30" i="15"/>
  <c r="C30" i="15"/>
  <c r="P29" i="15"/>
  <c r="G28" i="15"/>
  <c r="F28" i="15"/>
  <c r="E28" i="15"/>
  <c r="D28" i="15"/>
  <c r="C28" i="15"/>
  <c r="P28" i="15" s="1"/>
  <c r="G24" i="15"/>
  <c r="F24" i="15"/>
  <c r="E24" i="15"/>
  <c r="D24" i="15"/>
  <c r="C24" i="15"/>
  <c r="P24" i="15" s="1"/>
  <c r="G23" i="15"/>
  <c r="F23" i="15"/>
  <c r="F26" i="15" s="1"/>
  <c r="E23" i="15"/>
  <c r="E26" i="15" s="1"/>
  <c r="D23" i="15"/>
  <c r="D25" i="15" s="1"/>
  <c r="C23" i="15"/>
  <c r="P23" i="15" s="1"/>
  <c r="P22" i="15"/>
  <c r="M19" i="15"/>
  <c r="L19" i="15"/>
  <c r="K19" i="15"/>
  <c r="K34" i="15" s="1"/>
  <c r="J19" i="15"/>
  <c r="J34" i="15" s="1"/>
  <c r="I19" i="15"/>
  <c r="I34" i="15" s="1"/>
  <c r="H19" i="15"/>
  <c r="H34" i="15" s="1"/>
  <c r="D19" i="15"/>
  <c r="C19" i="15"/>
  <c r="P18" i="15"/>
  <c r="G17" i="15"/>
  <c r="G19" i="15" s="1"/>
  <c r="F17" i="15"/>
  <c r="F19" i="15" s="1"/>
  <c r="E17" i="15"/>
  <c r="E19" i="15" s="1"/>
  <c r="D17" i="15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17" i="15" l="1"/>
  <c r="P19" i="15"/>
  <c r="E25" i="15"/>
  <c r="G26" i="15"/>
  <c r="G32" i="15" s="1"/>
  <c r="G34" i="15" s="1"/>
  <c r="F25" i="15"/>
  <c r="F27" i="15" s="1"/>
  <c r="G25" i="15"/>
  <c r="D27" i="15"/>
  <c r="D32" i="15"/>
  <c r="D34" i="15" s="1"/>
  <c r="C26" i="15"/>
  <c r="P26" i="15" s="1"/>
  <c r="E27" i="15"/>
  <c r="E32" i="15"/>
  <c r="E34" i="15" s="1"/>
  <c r="D26" i="15"/>
  <c r="C25" i="15"/>
  <c r="C27" i="15" s="1"/>
  <c r="P27" i="15" s="1"/>
  <c r="G27" i="15"/>
  <c r="F32" i="15" l="1"/>
  <c r="F34" i="15" s="1"/>
  <c r="P25" i="15"/>
  <c r="C32" i="15"/>
  <c r="P32" i="15" l="1"/>
  <c r="C34" i="15"/>
  <c r="P34" i="15" s="1"/>
  <c r="C3" i="13" s="1"/>
</calcChain>
</file>

<file path=xl/sharedStrings.xml><?xml version="1.0" encoding="utf-8"?>
<sst xmlns="http://schemas.openxmlformats.org/spreadsheetml/2006/main" count="51" uniqueCount="50">
  <si>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</si>
  <si>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</si>
  <si>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</si>
  <si>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</si>
  <si>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</si>
  <si>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</si>
  <si>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</si>
  <si>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</si>
  <si>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</si>
  <si>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</si>
  <si>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</si>
  <si>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</si>
  <si>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</si>
  <si>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</si>
  <si>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</si>
  <si>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</si>
  <si>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</si>
  <si>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</si>
  <si>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</si>
  <si>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</si>
  <si>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</si>
  <si>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</si>
  <si>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</si>
  <si>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</si>
  <si>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</si>
  <si>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</si>
  <si>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</si>
  <si>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</si>
  <si>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</si>
  <si>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</si>
  <si>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</si>
  <si>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</si>
  <si>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</si>
  <si>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</si>
  <si>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</si>
  <si>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</si>
  <si>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</si>
  <si>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</si>
  <si>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</si>
  <si>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</si>
  <si>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</si>
  <si>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</si>
  <si>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</si>
  <si>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</si>
  <si>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</si>
  <si>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</si>
  <si>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</si>
  <si>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(Janvier 2023)</t>
  </si>
  <si>
    <t>Frais téléphonique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</si>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</sst>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workbookViewId="0">
      <selection activeCell="G11" sqref="G11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>
        <v>20</v>
      </c>
      <c r="F6" s="12">
        <v>19</v>
      </c>
      <c r="G6" s="12">
        <v>19</v>
      </c>
      <c r="H6" s="12"/>
      <c r="I6" s="12"/>
      <c r="J6" s="12"/>
      <c r="K6" s="12"/>
      <c r="L6" s="12"/>
      <c r="M6" s="12"/>
      <c r="N6" s="72"/>
      <c r="O6" s="54"/>
      <c r="P6" s="81">
        <f>SUM(C6:N6)</f>
        <v>98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>
        <v>23</v>
      </c>
      <c r="F7" s="12">
        <v>11</v>
      </c>
      <c r="G7" s="12">
        <v>18</v>
      </c>
      <c r="H7" s="12"/>
      <c r="I7" s="12"/>
      <c r="J7" s="12"/>
      <c r="K7" s="12"/>
      <c r="L7" s="12"/>
      <c r="M7" s="12"/>
      <c r="N7" s="12"/>
      <c r="O7" s="54"/>
      <c r="P7" s="81">
        <f>SUM(C7:N7)</f>
        <v>91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3</v>
      </c>
      <c r="F8" s="66">
        <f t="shared" si="0"/>
        <v>-8</v>
      </c>
      <c r="G8" s="66">
        <f t="shared" si="0"/>
        <v>-1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-7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>
        <v>23</v>
      </c>
      <c r="F11" s="61">
        <v>11</v>
      </c>
      <c r="G11" s="61">
        <v>18</v>
      </c>
      <c r="H11" s="61"/>
      <c r="I11" s="61"/>
      <c r="J11" s="61"/>
      <c r="K11" s="61"/>
      <c r="L11" s="61"/>
      <c r="M11" s="61"/>
      <c r="N11" s="61"/>
      <c r="P11" s="81">
        <f>SUM(C11:N11)</f>
        <v>91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>
        <v>8</v>
      </c>
      <c r="G12" s="62">
        <v>1</v>
      </c>
      <c r="H12" s="62"/>
      <c r="I12" s="62"/>
      <c r="J12" s="62"/>
      <c r="K12" s="62"/>
      <c r="L12" s="62"/>
      <c r="M12" s="62"/>
      <c r="N12" s="62"/>
      <c r="P12" s="81">
        <f>SUM(C12:N12)</f>
        <v>12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15">
        <f>E11*Params!$C$5*(1-Params!$C$3)-Params!$C$4</f>
        <v>9870.2000000000007</v>
      </c>
      <c r="F17" s="15">
        <f>F11*Params!$C$6*(1-Params!$C$3)-Params!$C$4</f>
        <v>4985</v>
      </c>
      <c r="G17" s="15">
        <f>G11*Params!$C$6*(1-Params!$C$3)-Params!$C$4</f>
        <v>8205</v>
      </c>
      <c r="H17" s="83"/>
      <c r="I17" s="83"/>
      <c r="J17" s="83"/>
      <c r="K17" s="83"/>
      <c r="L17" s="83"/>
      <c r="M17" s="83"/>
      <c r="N17" s="15"/>
      <c r="O17" s="4"/>
      <c r="P17" s="46">
        <f>SUM(C17:N17)</f>
        <v>39773.800000000003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9870.2000000000007</v>
      </c>
      <c r="F19" s="38">
        <f t="shared" si="1"/>
        <v>4985</v>
      </c>
      <c r="G19" s="38">
        <f t="shared" si="1"/>
        <v>8205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39773.800000000003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>
        <v>4247.42</v>
      </c>
      <c r="F22" s="12">
        <v>4298.6499999999996</v>
      </c>
      <c r="G22" s="12">
        <v>4298.6499999999996</v>
      </c>
      <c r="H22" s="12"/>
      <c r="I22" s="12"/>
      <c r="J22" s="12"/>
      <c r="K22" s="12"/>
      <c r="L22" s="12"/>
      <c r="M22" s="12"/>
      <c r="N22" s="12"/>
      <c r="O22" s="4"/>
      <c r="P22" s="46">
        <f t="shared" ref="P22:P32" si="2">SUM(C22:N22)</f>
        <v>21339.559999999998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>
        <f>(5219.05/5)*(1-9.7%)</f>
        <v>942.56043</v>
      </c>
      <c r="F23" s="79">
        <f>(5281.92/5)*(1-9.7%)</f>
        <v>953.91475200000002</v>
      </c>
      <c r="G23" s="79">
        <f>(5281.92/5)*(1-9.7%)</f>
        <v>953.91475200000002</v>
      </c>
      <c r="H23" s="79"/>
      <c r="I23" s="79"/>
      <c r="J23" s="79"/>
      <c r="K23" s="79"/>
      <c r="L23" s="79"/>
      <c r="M23" s="79"/>
      <c r="N23" s="75"/>
      <c r="O23" s="76"/>
      <c r="P23" s="77">
        <f t="shared" si="2"/>
        <v>4735.5107939999998</v>
      </c>
    </row>
    <row r="24" spans="2:16" x14ac:dyDescent="0.45">
      <c r="B24" s="13" t="s">
        <v>44</v>
      </c>
      <c r="C24" s="14">
        <f>(5219.05/5)*9.7%</f>
        <v>101.24956999999998</v>
      </c>
      <c r="D24" s="14">
        <f>(5219.05/5)*9.7%</f>
        <v>101.24956999999998</v>
      </c>
      <c r="E24" s="14">
        <f>(5219.05/5)*9.7%</f>
        <v>101.24956999999998</v>
      </c>
      <c r="F24" s="14">
        <f>(5281.92/5)*9.7%</f>
        <v>102.46924799999999</v>
      </c>
      <c r="G24" s="14">
        <f>(5281.92/5)*9.7%</f>
        <v>102.46924799999999</v>
      </c>
      <c r="H24" s="14"/>
      <c r="I24" s="14"/>
      <c r="J24" s="14"/>
      <c r="K24" s="14"/>
      <c r="L24" s="14"/>
      <c r="M24" s="14"/>
      <c r="N24" s="14"/>
      <c r="O24" s="4"/>
      <c r="P24" s="46">
        <f t="shared" si="2"/>
        <v>508.68720599999995</v>
      </c>
    </row>
    <row r="25" spans="2:16" s="78" customFormat="1" ht="15" customHeight="1" x14ac:dyDescent="0.45">
      <c r="B25" s="74" t="s">
        <v>43</v>
      </c>
      <c r="C25" s="79">
        <f>(C23/10)*(1-9.7%)</f>
        <v>85.113206829000006</v>
      </c>
      <c r="D25" s="79">
        <f>(D23/10)*(1-9.7%)</f>
        <v>85.113206829000006</v>
      </c>
      <c r="E25" s="79">
        <f>(E23/10)*(1-9.7%)</f>
        <v>85.113206829000006</v>
      </c>
      <c r="F25" s="79">
        <f>(F23/10)*(1-9.7%)</f>
        <v>86.138502105600011</v>
      </c>
      <c r="G25" s="79">
        <f>(G23/10)*(1-9.7%)</f>
        <v>86.138502105600011</v>
      </c>
      <c r="H25" s="79"/>
      <c r="I25" s="79"/>
      <c r="J25" s="79"/>
      <c r="K25" s="79"/>
      <c r="L25" s="79"/>
      <c r="M25" s="79"/>
      <c r="N25" s="75"/>
      <c r="O25" s="76"/>
      <c r="P25" s="77">
        <f t="shared" si="2"/>
        <v>427.61662469820004</v>
      </c>
    </row>
    <row r="26" spans="2:16" ht="15" customHeight="1" x14ac:dyDescent="0.45">
      <c r="B26" s="67" t="s">
        <v>45</v>
      </c>
      <c r="C26" s="14">
        <f>(C23/10)*9.7%</f>
        <v>9.142836170999999</v>
      </c>
      <c r="D26" s="14">
        <f>(D23/10)*9.7%</f>
        <v>9.142836170999999</v>
      </c>
      <c r="E26" s="14">
        <f>(E23/10)*9.7%</f>
        <v>9.142836170999999</v>
      </c>
      <c r="F26" s="14">
        <f>(F23/10)*9.7%</f>
        <v>9.2529730943999997</v>
      </c>
      <c r="G26" s="14">
        <f>(G23/10)*9.7%</f>
        <v>9.2529730943999997</v>
      </c>
      <c r="H26" s="14"/>
      <c r="I26" s="14"/>
      <c r="J26" s="14"/>
      <c r="K26" s="14"/>
      <c r="L26" s="14"/>
      <c r="M26" s="14"/>
      <c r="N26" s="14"/>
      <c r="O26" s="4"/>
      <c r="P26" s="46">
        <f t="shared" si="2"/>
        <v>45.934454701799993</v>
      </c>
    </row>
    <row r="27" spans="2:16" ht="15" customHeight="1" x14ac:dyDescent="0.45">
      <c r="B27" s="67" t="s">
        <v>37</v>
      </c>
      <c r="C27" s="14">
        <f>(C23+C25)*0.02</f>
        <v>20.553472736580002</v>
      </c>
      <c r="D27" s="14">
        <f>(D23+D25)*0.02</f>
        <v>20.553472736580002</v>
      </c>
      <c r="E27" s="14">
        <f>(E23+E25)*0.02</f>
        <v>20.553472736580002</v>
      </c>
      <c r="F27" s="14">
        <f>(F23+F25)*0.02</f>
        <v>20.801065082112</v>
      </c>
      <c r="G27" s="14">
        <f>(G23+G25)*0.02</f>
        <v>20.801065082112</v>
      </c>
      <c r="H27" s="14"/>
      <c r="I27" s="14"/>
      <c r="J27" s="14"/>
      <c r="K27" s="14"/>
      <c r="L27" s="14"/>
      <c r="M27" s="14"/>
      <c r="N27" s="14"/>
      <c r="O27" s="4"/>
      <c r="P27" s="46">
        <f t="shared" si="2"/>
        <v>103.26254837396401</v>
      </c>
    </row>
    <row r="28" spans="2:16" ht="15" customHeight="1" x14ac:dyDescent="0.45">
      <c r="B28" s="10" t="s">
        <v>9</v>
      </c>
      <c r="C28" s="12">
        <f>971.63+1816.15</f>
        <v>2787.78</v>
      </c>
      <c r="D28" s="12">
        <f>971.63+1824.04</f>
        <v>2795.67</v>
      </c>
      <c r="E28" s="12">
        <f>971.63+1816.15</f>
        <v>2787.78</v>
      </c>
      <c r="F28" s="12">
        <f>983.27+1838.06</f>
        <v>2821.33</v>
      </c>
      <c r="G28" s="12">
        <f>983.27+1861.74</f>
        <v>2845.01</v>
      </c>
      <c r="H28" s="12"/>
      <c r="I28" s="12"/>
      <c r="J28" s="12"/>
      <c r="K28" s="12"/>
      <c r="L28" s="12"/>
      <c r="M28" s="12"/>
      <c r="N28" s="12"/>
      <c r="O28" s="4"/>
      <c r="P28" s="46">
        <f t="shared" si="2"/>
        <v>14037.570000000002</v>
      </c>
    </row>
    <row r="29" spans="2:16" ht="15" customHeight="1" x14ac:dyDescent="0.45">
      <c r="B29" s="10" t="s">
        <v>7</v>
      </c>
      <c r="C29" s="12">
        <v>480.49400000000003</v>
      </c>
      <c r="D29" s="12">
        <v>500.52</v>
      </c>
      <c r="E29" s="12">
        <v>553.16899999999998</v>
      </c>
      <c r="F29" s="12">
        <v>328.14</v>
      </c>
      <c r="G29" s="12">
        <v>473.32</v>
      </c>
      <c r="H29" s="12"/>
      <c r="I29" s="12"/>
      <c r="J29" s="12"/>
      <c r="K29" s="12"/>
      <c r="L29" s="12"/>
      <c r="M29" s="12"/>
      <c r="N29" s="72"/>
      <c r="O29" s="4"/>
      <c r="P29" s="46">
        <f t="shared" si="2"/>
        <v>2335.643</v>
      </c>
    </row>
    <row r="30" spans="2:16" ht="15" customHeight="1" x14ac:dyDescent="0.45">
      <c r="B30" s="10" t="s">
        <v>23</v>
      </c>
      <c r="C30" s="11">
        <f>33.32+1232.5+20.83</f>
        <v>1286.6499999999999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46">
        <f t="shared" si="2"/>
        <v>1286.6499999999999</v>
      </c>
    </row>
    <row r="31" spans="2:16" ht="15" customHeight="1" x14ac:dyDescent="0.45">
      <c r="B31" s="84" t="s">
        <v>48</v>
      </c>
      <c r="C31" s="85"/>
      <c r="D31" s="85">
        <v>12.5</v>
      </c>
      <c r="E31" s="85">
        <v>31.83</v>
      </c>
      <c r="F31" s="85">
        <v>16.670000000000002</v>
      </c>
      <c r="G31" s="85">
        <v>16.670000000000002</v>
      </c>
      <c r="H31" s="85"/>
      <c r="I31" s="85"/>
      <c r="J31" s="85"/>
      <c r="K31" s="85"/>
      <c r="L31" s="85"/>
      <c r="M31" s="85"/>
      <c r="N31" s="85"/>
      <c r="O31" s="4"/>
      <c r="P31" s="46">
        <f t="shared" si="2"/>
        <v>77.67</v>
      </c>
    </row>
    <row r="32" spans="2:16" ht="15" customHeight="1" x14ac:dyDescent="0.45">
      <c r="B32" s="8" t="s">
        <v>3</v>
      </c>
      <c r="C32" s="9">
        <f t="shared" ref="C32:N32" si="3">SUM(C22:C31)</f>
        <v>9960.9635157365792</v>
      </c>
      <c r="D32" s="9">
        <f t="shared" si="3"/>
        <v>8714.7295157365807</v>
      </c>
      <c r="E32" s="9">
        <f t="shared" si="3"/>
        <v>8778.8185157365788</v>
      </c>
      <c r="F32" s="9">
        <f t="shared" si="3"/>
        <v>8637.3665402821116</v>
      </c>
      <c r="G32" s="9">
        <f t="shared" si="3"/>
        <v>8806.2265402821122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  <c r="O32" s="4"/>
      <c r="P32" s="50">
        <f t="shared" si="2"/>
        <v>44898.104627773966</v>
      </c>
    </row>
    <row r="33" spans="2:18" ht="15" customHeight="1" x14ac:dyDescent="0.4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1"/>
    </row>
    <row r="34" spans="2:18" ht="15" customHeight="1" x14ac:dyDescent="0.45">
      <c r="B34" s="41" t="s">
        <v>29</v>
      </c>
      <c r="C34" s="42">
        <f t="shared" ref="C34:N34" si="4">+C19-C32</f>
        <v>-1820.3635157365788</v>
      </c>
      <c r="D34" s="42">
        <f t="shared" si="4"/>
        <v>-141.72951573658065</v>
      </c>
      <c r="E34" s="42">
        <f t="shared" si="4"/>
        <v>1091.381484263422</v>
      </c>
      <c r="F34" s="42">
        <f t="shared" si="4"/>
        <v>-3652.3665402821116</v>
      </c>
      <c r="G34" s="42">
        <f t="shared" si="4"/>
        <v>-601.22654028211218</v>
      </c>
      <c r="H34" s="42">
        <f t="shared" si="4"/>
        <v>0</v>
      </c>
      <c r="I34" s="42">
        <f t="shared" si="4"/>
        <v>0</v>
      </c>
      <c r="J34" s="42">
        <f t="shared" si="4"/>
        <v>0</v>
      </c>
      <c r="K34" s="42">
        <f t="shared" si="4"/>
        <v>0</v>
      </c>
      <c r="L34" s="42">
        <f t="shared" si="4"/>
        <v>0</v>
      </c>
      <c r="M34" s="42">
        <f t="shared" si="4"/>
        <v>0</v>
      </c>
      <c r="N34" s="42">
        <f t="shared" si="4"/>
        <v>0</v>
      </c>
      <c r="O34" s="4"/>
      <c r="P34" s="52">
        <f>SUM(C34:N34)</f>
        <v>-5124.3046277739613</v>
      </c>
    </row>
    <row r="35" spans="2:18" ht="15" customHeight="1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73"/>
    </row>
    <row r="36" spans="2:18" ht="15" customHeight="1" x14ac:dyDescent="0.45">
      <c r="B36" s="80" t="s">
        <v>40</v>
      </c>
      <c r="C36" s="18">
        <v>1178</v>
      </c>
      <c r="D36" s="18">
        <v>1240</v>
      </c>
      <c r="E36" s="18">
        <v>1403</v>
      </c>
      <c r="F36" s="18">
        <v>671</v>
      </c>
      <c r="G36" s="18">
        <v>1098</v>
      </c>
      <c r="H36" s="18"/>
      <c r="I36" s="18"/>
      <c r="J36" s="18"/>
      <c r="K36" s="18"/>
      <c r="L36" s="18"/>
      <c r="M36" s="18"/>
      <c r="N36" s="18"/>
      <c r="O36" s="4"/>
      <c r="P36" s="53">
        <f>SUM(C36:N36)</f>
        <v>5590</v>
      </c>
    </row>
    <row r="37" spans="2:18" ht="15" customHeight="1" x14ac:dyDescent="0.45">
      <c r="B37" s="80" t="s">
        <v>41</v>
      </c>
      <c r="C37" s="18">
        <v>480.49400000000003</v>
      </c>
      <c r="D37" s="18">
        <v>500.52</v>
      </c>
      <c r="E37" s="18">
        <v>553.16899999999998</v>
      </c>
      <c r="F37" s="18">
        <v>328.14</v>
      </c>
      <c r="G37" s="18">
        <v>473.32</v>
      </c>
      <c r="H37" s="18"/>
      <c r="I37" s="18"/>
      <c r="J37" s="18"/>
      <c r="K37" s="18"/>
      <c r="L37" s="18"/>
      <c r="M37" s="18"/>
      <c r="N37" s="18"/>
      <c r="O37" s="4"/>
      <c r="P37" s="53">
        <f>SUM(C37:N37)</f>
        <v>2335.643</v>
      </c>
    </row>
    <row r="38" spans="2:18" ht="15" customHeight="1" x14ac:dyDescent="0.45">
      <c r="R38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6" sqref="B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47</v>
      </c>
      <c r="C5" s="39">
        <v>470</v>
      </c>
    </row>
    <row r="6" spans="2:3" x14ac:dyDescent="0.45">
      <c r="B6" s="39" t="s">
        <v>49</v>
      </c>
      <c r="C6" s="3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'2023'!P34</f>
        <v>-5124.3046277739613</v>
      </c>
    </row>
    <row r="4" spans="2:3" ht="22.05" customHeight="1" x14ac:dyDescent="0.45">
      <c r="B4" s="70" t="s">
        <v>46</v>
      </c>
      <c r="C4" s="71">
        <f>'2023'!P12</f>
        <v>12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2023-06-01T11:30:59Z</dcterms:modified>
</cp:coreProperties>
</file>