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8\STC\Ali - 15-08-2025\Suivi\"/>
    </mc:Choice>
  </mc:AlternateContent>
  <bookViews>
    <workbookView xWindow="0" yWindow="0" windowWidth="17150" windowHeight="5140" activeTab="1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FRAIS_KM" localSheetId="0">'2024'!$B$30</definedName>
    <definedName name="FRAIS_KM" localSheetId="1">'2025'!$B$31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MBRE_KM" localSheetId="0">'2024'!$B$29</definedName>
    <definedName name="NOMBRE_KM" localSheetId="1">'2025'!$B$30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'2024'!$B$27</definedName>
    <definedName name="SOLDE" localSheetId="1">'2025'!$B$28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KM" localSheetId="0">'2024'!$B$24</definedName>
    <definedName name="SORTIES_FRAIS_KM" localSheetId="1">'2025'!$B$24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'2024'!$B$25</definedName>
    <definedName name="TOTAL_SORTIES" localSheetId="1">'2025'!$B$26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3" i="15" l="1"/>
  <c r="J25" i="15" l="1"/>
  <c r="K26" i="15" l="1"/>
  <c r="L26" i="15"/>
  <c r="M26" i="15"/>
  <c r="N26" i="15"/>
  <c r="D26" i="15"/>
  <c r="E26" i="15"/>
  <c r="F26" i="15"/>
  <c r="G26" i="15"/>
  <c r="H26" i="15"/>
  <c r="I26" i="15"/>
  <c r="J26" i="15"/>
  <c r="C26" i="15"/>
  <c r="I23" i="15" l="1"/>
  <c r="I17" i="15"/>
  <c r="J17" i="15"/>
  <c r="H23" i="15" l="1"/>
  <c r="H17" i="15"/>
  <c r="G23" i="15" l="1"/>
  <c r="G17" i="15"/>
  <c r="F17" i="15" l="1"/>
  <c r="F23" i="15"/>
  <c r="P31" i="15" l="1"/>
  <c r="P30" i="15"/>
  <c r="P24" i="15"/>
  <c r="E23" i="15"/>
  <c r="D23" i="15"/>
  <c r="C23" i="15"/>
  <c r="P22" i="15"/>
  <c r="N19" i="15"/>
  <c r="N28" i="15" s="1"/>
  <c r="M19" i="15"/>
  <c r="L19" i="15"/>
  <c r="K19" i="15"/>
  <c r="J19" i="15"/>
  <c r="I19" i="15"/>
  <c r="I28" i="15" s="1"/>
  <c r="H19" i="15"/>
  <c r="H28" i="15" s="1"/>
  <c r="G19" i="15"/>
  <c r="F19" i="15"/>
  <c r="P18" i="15"/>
  <c r="E17" i="15"/>
  <c r="E19" i="15" s="1"/>
  <c r="D17" i="15"/>
  <c r="D19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E25" i="14"/>
  <c r="D25" i="14"/>
  <c r="C25" i="14"/>
  <c r="P24" i="14"/>
  <c r="N23" i="14"/>
  <c r="N25" i="14" s="1"/>
  <c r="M23" i="14"/>
  <c r="M25" i="14" s="1"/>
  <c r="L23" i="14"/>
  <c r="L25" i="14" s="1"/>
  <c r="K23" i="14"/>
  <c r="K25" i="14" s="1"/>
  <c r="J23" i="14"/>
  <c r="J25" i="14" s="1"/>
  <c r="I23" i="14"/>
  <c r="I25" i="14" s="1"/>
  <c r="H23" i="14"/>
  <c r="H25" i="14" s="1"/>
  <c r="G23" i="14"/>
  <c r="G25" i="14" s="1"/>
  <c r="F23" i="14"/>
  <c r="F25" i="14" s="1"/>
  <c r="P22" i="14"/>
  <c r="L19" i="14"/>
  <c r="L27" i="14" s="1"/>
  <c r="E19" i="14"/>
  <c r="D19" i="14"/>
  <c r="C19" i="14"/>
  <c r="P18" i="14"/>
  <c r="N17" i="14"/>
  <c r="N19" i="14" s="1"/>
  <c r="M17" i="14"/>
  <c r="M19" i="14" s="1"/>
  <c r="L17" i="14"/>
  <c r="K17" i="14"/>
  <c r="K19" i="14" s="1"/>
  <c r="J17" i="14"/>
  <c r="J19" i="14" s="1"/>
  <c r="I17" i="14"/>
  <c r="I19" i="14" s="1"/>
  <c r="H17" i="14"/>
  <c r="H19" i="14" s="1"/>
  <c r="G17" i="14"/>
  <c r="G19" i="14" s="1"/>
  <c r="F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M27" i="14" l="1"/>
  <c r="G27" i="14"/>
  <c r="J28" i="15"/>
  <c r="C4" i="13"/>
  <c r="C5" i="13" s="1"/>
  <c r="G28" i="15"/>
  <c r="E27" i="14"/>
  <c r="E28" i="15"/>
  <c r="C27" i="14"/>
  <c r="I27" i="14"/>
  <c r="D28" i="15"/>
  <c r="J27" i="14"/>
  <c r="D27" i="14"/>
  <c r="H27" i="14"/>
  <c r="P33" i="14"/>
  <c r="K27" i="14"/>
  <c r="L28" i="15"/>
  <c r="M28" i="15"/>
  <c r="P23" i="15"/>
  <c r="K28" i="15"/>
  <c r="P8" i="14"/>
  <c r="P17" i="14"/>
  <c r="N27" i="14"/>
  <c r="P23" i="14"/>
  <c r="F28" i="15"/>
  <c r="P8" i="15"/>
  <c r="P25" i="14"/>
  <c r="P26" i="15"/>
  <c r="C28" i="15"/>
  <c r="P19" i="15"/>
  <c r="F19" i="14"/>
  <c r="F27" i="14" s="1"/>
  <c r="P19" i="14"/>
  <c r="P17" i="15"/>
  <c r="P27" i="14" l="1"/>
  <c r="P28" i="15"/>
  <c r="C3" i="13" s="1"/>
</calcChain>
</file>

<file path=xl/sharedStrings.xml><?xml version="1.0" encoding="utf-8"?>
<sst xmlns="http://schemas.openxmlformats.org/spreadsheetml/2006/main" count="83" uniqueCount="46">
  <si>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</si>
  <si>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</si>
  <si>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</si>
  <si>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</si>
  <si>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</si>
  <si>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</si>
  <si>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</si>
  <si>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</si>
  <si>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</si>
  <si>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</si>
  <si>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</si>
  <si>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</si>
  <si>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</si>
  <si>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</si>
  <si>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</si>
  <si>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</si>
  <si>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</si>
  <si>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</si>
  <si>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</si>
  <si>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</si>
  <si>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</si>
  <si>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</si>
  <si>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</si>
  <si>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</si>
  <si>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</si>
  <si>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</si>
  <si>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</si>
  <si>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</si>
  <si>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</si>
  <si>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</si>
  <si>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</si>
  <si>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</si>
  <si>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</si>
  <si>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</si>
  <si>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</si>
  <si>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</si>
  <si>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</si>
  <si>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</si>
  <si>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</si>
  <si>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</si>
  <si>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</si>
  <si>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(Avril 2024)</t>
  </si>
  <si>
    <t>Frais KM annuel à payer</t>
  </si>
  <si>
    <t>Régularisation Frais KM</t>
  </si>
  <si>
    <t>Solde Congé</t>
  </si>
  <si>
    <t>Achats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</si>
</sst>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opLeftCell="D3" workbookViewId="0">
      <selection activeCell="E36" sqref="E36"/>
    </sheetView>
  </sheetViews>
  <sheetFormatPr baseColWidth="10" defaultRowHeight="14.5" x14ac:dyDescent="0.35"/>
  <cols>
    <col min="1" max="1" width="3" customWidth="1"/>
    <col min="2" max="2" width="28" customWidth="1"/>
    <col min="3" max="14" width="13.453125" customWidth="1"/>
    <col min="15" max="15" width="4" customWidth="1"/>
    <col min="16" max="16" width="11" style="48" customWidth="1"/>
  </cols>
  <sheetData>
    <row r="1" spans="2:16" x14ac:dyDescent="0.35">
      <c r="B1" s="65" t="s">
        <v>9</v>
      </c>
    </row>
    <row r="2" spans="2:16" x14ac:dyDescent="0.3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/>
      <c r="D6" s="35"/>
      <c r="E6" s="35"/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171</v>
      </c>
    </row>
    <row r="7" spans="2:16" x14ac:dyDescent="0.35">
      <c r="B7" s="9" t="s">
        <v>21</v>
      </c>
      <c r="C7" s="37"/>
      <c r="D7" s="37"/>
      <c r="E7" s="37"/>
      <c r="F7" s="37">
        <v>14</v>
      </c>
      <c r="G7" s="37">
        <v>19</v>
      </c>
      <c r="H7" s="37">
        <v>20</v>
      </c>
      <c r="I7" s="37">
        <v>23</v>
      </c>
      <c r="J7" s="37">
        <v>21</v>
      </c>
      <c r="K7" s="37">
        <v>21</v>
      </c>
      <c r="L7" s="37">
        <v>23</v>
      </c>
      <c r="M7" s="37">
        <v>19</v>
      </c>
      <c r="N7" s="37">
        <v>21</v>
      </c>
      <c r="O7" s="36"/>
      <c r="P7" s="57">
        <f>SUM(C7:N7)</f>
        <v>181</v>
      </c>
    </row>
    <row r="8" spans="2:16" x14ac:dyDescent="0.3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-5</v>
      </c>
      <c r="G8" s="63">
        <f t="shared" si="0"/>
        <v>0</v>
      </c>
      <c r="H8" s="63">
        <f t="shared" si="0"/>
        <v>1</v>
      </c>
      <c r="I8" s="63">
        <f t="shared" si="0"/>
        <v>4</v>
      </c>
      <c r="J8" s="63">
        <f t="shared" si="0"/>
        <v>2</v>
      </c>
      <c r="K8" s="63">
        <f t="shared" si="0"/>
        <v>2</v>
      </c>
      <c r="L8" s="63">
        <f t="shared" si="0"/>
        <v>4</v>
      </c>
      <c r="M8" s="63">
        <f t="shared" si="0"/>
        <v>0</v>
      </c>
      <c r="N8" s="63">
        <f t="shared" si="0"/>
        <v>2</v>
      </c>
      <c r="O8" s="36"/>
      <c r="P8" s="57">
        <f>SUM(C8:N8)</f>
        <v>10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/>
      <c r="D11" s="11"/>
      <c r="E11" s="11"/>
      <c r="F11" s="11">
        <v>13.76</v>
      </c>
      <c r="G11" s="11">
        <v>19</v>
      </c>
      <c r="H11" s="11">
        <v>20</v>
      </c>
      <c r="I11" s="11">
        <v>23</v>
      </c>
      <c r="J11" s="11">
        <v>21</v>
      </c>
      <c r="K11" s="11">
        <v>21</v>
      </c>
      <c r="L11" s="11">
        <v>23</v>
      </c>
      <c r="M11" s="11">
        <v>19</v>
      </c>
      <c r="N11" s="11">
        <v>21</v>
      </c>
      <c r="P11" s="58">
        <f>SUM(C11:N11)</f>
        <v>180.76</v>
      </c>
    </row>
    <row r="12" spans="2:16" x14ac:dyDescent="0.35">
      <c r="B12" s="9" t="s">
        <v>16</v>
      </c>
      <c r="C12" s="12"/>
      <c r="D12" s="12"/>
      <c r="E12" s="12"/>
      <c r="F12" s="12">
        <v>7.24</v>
      </c>
      <c r="G12" s="12"/>
      <c r="H12" s="12"/>
      <c r="I12" s="12"/>
      <c r="J12" s="12"/>
      <c r="K12" s="12"/>
      <c r="L12" s="12"/>
      <c r="M12" s="12"/>
      <c r="N12" s="12"/>
      <c r="P12" s="58">
        <f>SUM(C12:N12)</f>
        <v>7.24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/>
      <c r="D17" s="10"/>
      <c r="E17" s="10"/>
      <c r="F17" s="10">
        <f>F11*Params!$C$5*(1-Params!$C$3)-Params!$C$4</f>
        <v>3722.76</v>
      </c>
      <c r="G17" s="10">
        <f>G11*Params!$C$5*(1-Params!$C$3)-Params!$C$4</f>
        <v>5169</v>
      </c>
      <c r="H17" s="10">
        <f>H11*Params!$C$5*(1-Params!$C$3)-Params!$C$4</f>
        <v>5445</v>
      </c>
      <c r="I17" s="10">
        <f>I11*Params!$C$5*(1-Params!$C$3)-Params!$C$4</f>
        <v>6273</v>
      </c>
      <c r="J17" s="10">
        <f>J11*Params!$C$5*(1-Params!$C$3)-Params!$C$4</f>
        <v>5721</v>
      </c>
      <c r="K17" s="10">
        <f>K11*Params!$C$5*(1-Params!$C$3)-Params!$C$4</f>
        <v>5721</v>
      </c>
      <c r="L17" s="10">
        <f>L11*Params!$C$5*(1-Params!$C$3)-Params!$C$4</f>
        <v>6273</v>
      </c>
      <c r="M17" s="10">
        <f>M11*Params!$C$5*(1-Params!$C$3)-Params!$C$4</f>
        <v>5169</v>
      </c>
      <c r="N17" s="10">
        <f>N11*Params!$C$5*(1-Params!$C$3)-Params!$C$4</f>
        <v>5721</v>
      </c>
      <c r="O17" s="4"/>
      <c r="P17" s="41">
        <f>SUM(C17:N17)</f>
        <v>49214.76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3722.76</v>
      </c>
      <c r="G19" s="28">
        <f t="shared" si="1"/>
        <v>5169</v>
      </c>
      <c r="H19" s="28">
        <f t="shared" si="1"/>
        <v>5445</v>
      </c>
      <c r="I19" s="28">
        <f t="shared" si="1"/>
        <v>6273</v>
      </c>
      <c r="J19" s="28">
        <f t="shared" si="1"/>
        <v>5721</v>
      </c>
      <c r="K19" s="28">
        <f t="shared" si="1"/>
        <v>5721</v>
      </c>
      <c r="L19" s="28">
        <f t="shared" si="1"/>
        <v>6273</v>
      </c>
      <c r="M19" s="28">
        <f t="shared" si="1"/>
        <v>5169</v>
      </c>
      <c r="N19" s="28">
        <f t="shared" si="1"/>
        <v>5721</v>
      </c>
      <c r="O19" s="5"/>
      <c r="P19" s="42">
        <f>SUM(C19:O19)</f>
        <v>49214.76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/>
      <c r="D22" s="10"/>
      <c r="E22" s="10"/>
      <c r="F22" s="10">
        <v>2829.26</v>
      </c>
      <c r="G22" s="10">
        <v>2829.26</v>
      </c>
      <c r="H22" s="10">
        <v>2829.26</v>
      </c>
      <c r="I22" s="10">
        <v>2829.26</v>
      </c>
      <c r="J22" s="10">
        <v>2829.26</v>
      </c>
      <c r="K22" s="10">
        <v>2829.26</v>
      </c>
      <c r="L22" s="10">
        <v>2911.64</v>
      </c>
      <c r="M22" s="10">
        <v>2911.64</v>
      </c>
      <c r="N22" s="10">
        <v>2911.64</v>
      </c>
      <c r="O22" s="4"/>
      <c r="P22" s="43">
        <f>SUM(C22:N22)</f>
        <v>25710.48</v>
      </c>
    </row>
    <row r="23" spans="2:16" x14ac:dyDescent="0.35">
      <c r="B23" s="9" t="s">
        <v>8</v>
      </c>
      <c r="C23" s="10"/>
      <c r="D23" s="10"/>
      <c r="E23" s="10"/>
      <c r="F23" s="10">
        <f>667.59+950.42</f>
        <v>1618.01</v>
      </c>
      <c r="G23" s="10">
        <f>667.59+958.44</f>
        <v>1626.0300000000002</v>
      </c>
      <c r="H23" s="10">
        <f>667.59+950.41</f>
        <v>1618</v>
      </c>
      <c r="I23" s="10">
        <f>667.59+951.88</f>
        <v>1619.47</v>
      </c>
      <c r="J23" s="10">
        <f>667.59+951.88</f>
        <v>1619.47</v>
      </c>
      <c r="K23" s="10">
        <f>667.59+951.88</f>
        <v>1619.47</v>
      </c>
      <c r="L23" s="10">
        <f>685.71+1025.67</f>
        <v>1711.38</v>
      </c>
      <c r="M23" s="10">
        <f>685.71+994.85</f>
        <v>1680.56</v>
      </c>
      <c r="N23" s="10">
        <f>685.71+991.96</f>
        <v>1677.67</v>
      </c>
      <c r="O23" s="4"/>
      <c r="P23" s="43">
        <f>SUM(C23:N23)</f>
        <v>14790.060000000001</v>
      </c>
    </row>
    <row r="24" spans="2:16" x14ac:dyDescent="0.35">
      <c r="B24" s="55" t="s">
        <v>40</v>
      </c>
      <c r="C24" s="10"/>
      <c r="D24" s="10"/>
      <c r="E24" s="10"/>
      <c r="F24" s="10">
        <v>224.95</v>
      </c>
      <c r="G24" s="10">
        <v>439.15</v>
      </c>
      <c r="H24" s="10">
        <v>457</v>
      </c>
      <c r="I24" s="10">
        <v>510.55</v>
      </c>
      <c r="J24" s="10">
        <v>474.85</v>
      </c>
      <c r="K24" s="10">
        <v>474.85</v>
      </c>
      <c r="L24" s="10">
        <v>346.33</v>
      </c>
      <c r="M24" s="10">
        <v>303.49</v>
      </c>
      <c r="N24" s="10">
        <v>819.91</v>
      </c>
      <c r="O24" s="4"/>
      <c r="P24" s="43">
        <f>SUM(C24:N24)</f>
        <v>4051.08</v>
      </c>
    </row>
    <row r="25" spans="2:16" x14ac:dyDescent="0.3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4672.22</v>
      </c>
      <c r="G25" s="44">
        <f t="shared" si="2"/>
        <v>4894.4400000000005</v>
      </c>
      <c r="H25" s="44">
        <f t="shared" si="2"/>
        <v>4904.26</v>
      </c>
      <c r="I25" s="44">
        <f t="shared" si="2"/>
        <v>4959.2800000000007</v>
      </c>
      <c r="J25" s="44">
        <f t="shared" si="2"/>
        <v>4923.5800000000008</v>
      </c>
      <c r="K25" s="44">
        <f t="shared" si="2"/>
        <v>4923.5800000000008</v>
      </c>
      <c r="L25" s="44">
        <f t="shared" si="2"/>
        <v>4969.3500000000004</v>
      </c>
      <c r="M25" s="44">
        <f t="shared" si="2"/>
        <v>4895.6899999999996</v>
      </c>
      <c r="N25" s="44">
        <f t="shared" si="2"/>
        <v>5409.2199999999993</v>
      </c>
      <c r="O25" s="4"/>
      <c r="P25" s="60">
        <f>SUM(C25:N25)</f>
        <v>44551.62000000001</v>
      </c>
    </row>
    <row r="26" spans="2:16" x14ac:dyDescent="0.3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-949.46</v>
      </c>
      <c r="G27" s="47">
        <f t="shared" si="3"/>
        <v>274.55999999999949</v>
      </c>
      <c r="H27" s="47">
        <f t="shared" si="3"/>
        <v>540.73999999999978</v>
      </c>
      <c r="I27" s="47">
        <f t="shared" si="3"/>
        <v>1313.7199999999993</v>
      </c>
      <c r="J27" s="47">
        <f t="shared" si="3"/>
        <v>797.41999999999916</v>
      </c>
      <c r="K27" s="47">
        <f t="shared" si="3"/>
        <v>797.41999999999916</v>
      </c>
      <c r="L27" s="47">
        <f t="shared" si="3"/>
        <v>1303.6499999999996</v>
      </c>
      <c r="M27" s="47">
        <f t="shared" si="3"/>
        <v>273.3100000000004</v>
      </c>
      <c r="N27" s="47">
        <f t="shared" si="3"/>
        <v>311.78000000000065</v>
      </c>
      <c r="P27" s="59">
        <f>SUM(C27:O27)</f>
        <v>4663.1399999999976</v>
      </c>
    </row>
    <row r="29" spans="2:16" x14ac:dyDescent="0.35">
      <c r="B29" s="62" t="s">
        <v>37</v>
      </c>
      <c r="C29" s="54"/>
      <c r="D29" s="54"/>
      <c r="E29" s="54"/>
      <c r="F29" s="54">
        <v>350</v>
      </c>
      <c r="G29" s="54">
        <v>950</v>
      </c>
      <c r="H29" s="54">
        <v>1000</v>
      </c>
      <c r="I29" s="54">
        <v>1150</v>
      </c>
      <c r="J29" s="54">
        <v>1050</v>
      </c>
      <c r="K29" s="54">
        <v>1050</v>
      </c>
      <c r="L29" s="54">
        <v>690</v>
      </c>
      <c r="M29" s="54">
        <v>570</v>
      </c>
      <c r="N29" s="54">
        <v>630</v>
      </c>
      <c r="P29" s="61">
        <f>SUM(C29:N29)</f>
        <v>7440</v>
      </c>
    </row>
    <row r="30" spans="2:16" x14ac:dyDescent="0.35">
      <c r="B30" s="62" t="s">
        <v>38</v>
      </c>
      <c r="C30" s="54"/>
      <c r="D30" s="54"/>
      <c r="E30" s="54"/>
      <c r="F30" s="54">
        <v>224.95</v>
      </c>
      <c r="G30" s="54">
        <v>439.15</v>
      </c>
      <c r="H30" s="54">
        <v>457</v>
      </c>
      <c r="I30" s="54">
        <v>510.55</v>
      </c>
      <c r="J30" s="54">
        <v>474.85</v>
      </c>
      <c r="K30" s="54">
        <v>474.85</v>
      </c>
      <c r="L30" s="54">
        <v>346.33</v>
      </c>
      <c r="M30" s="54">
        <v>303.49</v>
      </c>
      <c r="N30" s="54">
        <v>819.91</v>
      </c>
      <c r="P30" s="61">
        <f>SUM(C30:N30)</f>
        <v>4051.08</v>
      </c>
    </row>
    <row r="32" spans="2:16" x14ac:dyDescent="0.35">
      <c r="N32" s="54" t="s">
        <v>42</v>
      </c>
      <c r="P32" s="61">
        <f>(P29*0.357) + 1395</f>
        <v>4051.08</v>
      </c>
    </row>
    <row r="33" spans="14:16" x14ac:dyDescent="0.35">
      <c r="N33" s="54" t="s">
        <v>43</v>
      </c>
      <c r="P33" s="61">
        <f>P32-P30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tabSelected="1" workbookViewId="0">
      <selection activeCell="J25" sqref="J25"/>
    </sheetView>
  </sheetViews>
  <sheetFormatPr baseColWidth="10" defaultRowHeight="14.5" x14ac:dyDescent="0.35"/>
  <cols>
    <col min="1" max="1" width="3" customWidth="1"/>
    <col min="2" max="2" width="28" customWidth="1"/>
    <col min="3" max="14" width="11.453125" customWidth="1"/>
    <col min="15" max="15" width="4" customWidth="1"/>
    <col min="16" max="16" width="11" style="48" customWidth="1"/>
  </cols>
  <sheetData>
    <row r="1" spans="2:16" x14ac:dyDescent="0.35">
      <c r="B1" s="65" t="s">
        <v>9</v>
      </c>
    </row>
    <row r="2" spans="2:16" x14ac:dyDescent="0.3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12</v>
      </c>
      <c r="K6" s="37"/>
      <c r="L6" s="37"/>
      <c r="M6" s="37"/>
      <c r="N6" s="37"/>
      <c r="O6" s="36"/>
      <c r="P6" s="57">
        <f>SUM(C6:N6)</f>
        <v>145</v>
      </c>
    </row>
    <row r="7" spans="2:16" x14ac:dyDescent="0.35">
      <c r="B7" s="9" t="s">
        <v>21</v>
      </c>
      <c r="C7" s="37">
        <v>22</v>
      </c>
      <c r="D7" s="37">
        <v>20</v>
      </c>
      <c r="E7" s="37">
        <v>9</v>
      </c>
      <c r="F7" s="37">
        <v>17</v>
      </c>
      <c r="G7" s="37">
        <v>18</v>
      </c>
      <c r="H7" s="37">
        <v>18</v>
      </c>
      <c r="I7" s="37">
        <v>22</v>
      </c>
      <c r="J7" s="37">
        <v>10</v>
      </c>
      <c r="K7" s="37"/>
      <c r="L7" s="37"/>
      <c r="M7" s="37"/>
      <c r="N7" s="37"/>
      <c r="O7" s="36"/>
      <c r="P7" s="57">
        <f>SUM(C7:N7)</f>
        <v>136</v>
      </c>
    </row>
    <row r="8" spans="2:16" x14ac:dyDescent="0.35">
      <c r="B8" s="18" t="s">
        <v>22</v>
      </c>
      <c r="C8" s="63">
        <f t="shared" ref="C8:N8" si="0">C7-C6</f>
        <v>3</v>
      </c>
      <c r="D8" s="63">
        <f t="shared" si="0"/>
        <v>1</v>
      </c>
      <c r="E8" s="63">
        <f t="shared" si="0"/>
        <v>-10</v>
      </c>
      <c r="F8" s="63">
        <f t="shared" si="0"/>
        <v>-2</v>
      </c>
      <c r="G8" s="63">
        <f t="shared" si="0"/>
        <v>-1</v>
      </c>
      <c r="H8" s="63">
        <f t="shared" si="0"/>
        <v>-1</v>
      </c>
      <c r="I8" s="63">
        <f t="shared" si="0"/>
        <v>3</v>
      </c>
      <c r="J8" s="63">
        <f t="shared" si="0"/>
        <v>-2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-9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22</v>
      </c>
      <c r="D11" s="11">
        <v>20</v>
      </c>
      <c r="E11" s="11">
        <v>9</v>
      </c>
      <c r="F11" s="11">
        <v>17</v>
      </c>
      <c r="G11" s="11">
        <v>18</v>
      </c>
      <c r="H11" s="11">
        <v>18</v>
      </c>
      <c r="I11" s="11">
        <v>22</v>
      </c>
      <c r="J11" s="11">
        <v>10</v>
      </c>
      <c r="K11" s="11"/>
      <c r="L11" s="11"/>
      <c r="M11" s="11"/>
      <c r="N11" s="11"/>
      <c r="P11" s="58">
        <f>SUM(C11:N11)</f>
        <v>136</v>
      </c>
    </row>
    <row r="12" spans="2:16" x14ac:dyDescent="0.35">
      <c r="B12" s="9" t="s">
        <v>16</v>
      </c>
      <c r="C12" s="12"/>
      <c r="D12" s="12"/>
      <c r="E12" s="12">
        <v>12</v>
      </c>
      <c r="F12" s="12">
        <v>4</v>
      </c>
      <c r="G12" s="12">
        <v>1</v>
      </c>
      <c r="H12" s="12">
        <v>2</v>
      </c>
      <c r="I12" s="12"/>
      <c r="J12" s="12"/>
      <c r="K12" s="12"/>
      <c r="L12" s="12"/>
      <c r="M12" s="12"/>
      <c r="N12" s="12"/>
      <c r="P12" s="58">
        <f>SUM(C12:N12)</f>
        <v>19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>
        <f>C11*Params!$C$5*(1-Params!$C$3)-Params!$C$4</f>
        <v>5997</v>
      </c>
      <c r="D17" s="10">
        <f>D11*Params!$C$5*(1-Params!$C$3)-Params!$C$4</f>
        <v>5445</v>
      </c>
      <c r="E17" s="10">
        <f>E11*Params!$C$5*(1-Params!$C$3)-Params!$C$4</f>
        <v>2409</v>
      </c>
      <c r="F17" s="10">
        <f>F11*Params!$C$5*(1-Params!$C$3)-Params!$C$4</f>
        <v>4617</v>
      </c>
      <c r="G17" s="10">
        <f>G11*Params!$C$5*(1-Params!$C$3)-Params!$C$4</f>
        <v>4893</v>
      </c>
      <c r="H17" s="10">
        <f>H11*Params!$C$5*(1-Params!$C$3)-Params!$C$4</f>
        <v>4893</v>
      </c>
      <c r="I17" s="10">
        <f>I11*Params!$C$5*(1-Params!$C$3)-Params!$C$4</f>
        <v>5997</v>
      </c>
      <c r="J17" s="10">
        <f>J11*Params!$C$5*(1-Params!$C$3)-Params!$C$4</f>
        <v>2685</v>
      </c>
      <c r="K17" s="10"/>
      <c r="L17" s="10"/>
      <c r="M17" s="10"/>
      <c r="N17" s="10"/>
      <c r="O17" s="4"/>
      <c r="P17" s="41">
        <f>SUM(C17:N17)</f>
        <v>36936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27" t="s">
        <v>2</v>
      </c>
      <c r="C19" s="28">
        <f t="shared" ref="C19:N19" si="1">SUM(C17:C18)</f>
        <v>5997</v>
      </c>
      <c r="D19" s="28">
        <f t="shared" si="1"/>
        <v>5445</v>
      </c>
      <c r="E19" s="28">
        <f t="shared" si="1"/>
        <v>2409</v>
      </c>
      <c r="F19" s="28">
        <f t="shared" si="1"/>
        <v>4617</v>
      </c>
      <c r="G19" s="28">
        <f t="shared" si="1"/>
        <v>4893</v>
      </c>
      <c r="H19" s="28">
        <f t="shared" si="1"/>
        <v>4893</v>
      </c>
      <c r="I19" s="28">
        <f t="shared" si="1"/>
        <v>5997</v>
      </c>
      <c r="J19" s="28">
        <f t="shared" si="1"/>
        <v>2685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36936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>
        <v>2910.77</v>
      </c>
      <c r="D22" s="10">
        <v>2910.77</v>
      </c>
      <c r="E22" s="10">
        <v>2910.77</v>
      </c>
      <c r="F22" s="10">
        <v>2910.77</v>
      </c>
      <c r="G22" s="10">
        <v>2910.77</v>
      </c>
      <c r="H22" s="10">
        <v>2910.77</v>
      </c>
      <c r="I22" s="10">
        <v>2910.77</v>
      </c>
      <c r="J22" s="10">
        <v>3763.4</v>
      </c>
      <c r="K22" s="10"/>
      <c r="L22" s="10"/>
      <c r="M22" s="10"/>
      <c r="N22" s="10"/>
      <c r="O22" s="4"/>
      <c r="P22" s="43">
        <f>SUM(C22:N22)</f>
        <v>24138.79</v>
      </c>
    </row>
    <row r="23" spans="2:16" x14ac:dyDescent="0.35">
      <c r="B23" s="9" t="s">
        <v>8</v>
      </c>
      <c r="C23" s="10">
        <f>691.14+1001.35</f>
        <v>1692.49</v>
      </c>
      <c r="D23" s="10">
        <f>691.14+1001.35</f>
        <v>1692.49</v>
      </c>
      <c r="E23" s="10">
        <f>691.14+1001.34</f>
        <v>1692.48</v>
      </c>
      <c r="F23" s="10">
        <f>691.14+1014.64</f>
        <v>1705.78</v>
      </c>
      <c r="G23" s="10">
        <f>691.14+1005.77</f>
        <v>1696.9099999999999</v>
      </c>
      <c r="H23" s="10">
        <f>691.14+1002.46</f>
        <v>1693.6</v>
      </c>
      <c r="I23" s="10">
        <f>691.14+1001.35</f>
        <v>1692.49</v>
      </c>
      <c r="J23" s="10">
        <f>687.18+1365.82</f>
        <v>2053</v>
      </c>
      <c r="K23" s="10"/>
      <c r="L23" s="10"/>
      <c r="M23" s="10"/>
      <c r="N23" s="10"/>
      <c r="O23" s="4"/>
      <c r="P23" s="43">
        <f>SUM(C23:N23)</f>
        <v>13919.24</v>
      </c>
    </row>
    <row r="24" spans="2:16" x14ac:dyDescent="0.35">
      <c r="B24" s="55" t="s">
        <v>40</v>
      </c>
      <c r="C24" s="10">
        <v>335.62</v>
      </c>
      <c r="D24" s="10">
        <v>314.2</v>
      </c>
      <c r="E24" s="10">
        <v>196.39</v>
      </c>
      <c r="F24" s="10">
        <v>282.07</v>
      </c>
      <c r="G24" s="10">
        <v>292.77999999999997</v>
      </c>
      <c r="H24" s="10">
        <v>292.77999999999997</v>
      </c>
      <c r="I24" s="10">
        <v>335.62</v>
      </c>
      <c r="J24" s="10">
        <v>337.1</v>
      </c>
      <c r="K24" s="10"/>
      <c r="L24" s="10"/>
      <c r="M24" s="10"/>
      <c r="N24" s="10"/>
      <c r="O24" s="4"/>
      <c r="P24" s="43">
        <f>SUM(C24:N24)</f>
        <v>2386.56</v>
      </c>
    </row>
    <row r="25" spans="2:16" x14ac:dyDescent="0.35">
      <c r="B25" s="55" t="s">
        <v>45</v>
      </c>
      <c r="C25" s="64"/>
      <c r="D25" s="64"/>
      <c r="E25" s="64"/>
      <c r="F25" s="64"/>
      <c r="G25" s="64"/>
      <c r="H25" s="64"/>
      <c r="I25" s="64">
        <v>489.54</v>
      </c>
      <c r="J25" s="64">
        <f>33.17+31.65+606.67</f>
        <v>671.49</v>
      </c>
      <c r="K25" s="64"/>
      <c r="L25" s="64"/>
      <c r="M25" s="64"/>
      <c r="N25" s="64"/>
      <c r="O25" s="4"/>
      <c r="P25" s="43"/>
    </row>
    <row r="26" spans="2:16" x14ac:dyDescent="0.35">
      <c r="B26" s="8" t="s">
        <v>3</v>
      </c>
      <c r="C26" s="44">
        <f>SUM(C22:C25)</f>
        <v>4938.88</v>
      </c>
      <c r="D26" s="44">
        <f t="shared" ref="D26:J26" si="2">SUM(D22:D25)</f>
        <v>4917.46</v>
      </c>
      <c r="E26" s="44">
        <f t="shared" si="2"/>
        <v>4799.6400000000003</v>
      </c>
      <c r="F26" s="44">
        <f t="shared" si="2"/>
        <v>4898.62</v>
      </c>
      <c r="G26" s="44">
        <f t="shared" si="2"/>
        <v>4900.46</v>
      </c>
      <c r="H26" s="44">
        <f t="shared" si="2"/>
        <v>4897.1499999999996</v>
      </c>
      <c r="I26" s="44">
        <f t="shared" si="2"/>
        <v>5428.42</v>
      </c>
      <c r="J26" s="44">
        <f t="shared" si="2"/>
        <v>6824.99</v>
      </c>
      <c r="K26" s="44">
        <f>SUM(K22:K25)</f>
        <v>0</v>
      </c>
      <c r="L26" s="44">
        <f t="shared" ref="L26" si="3">SUM(L22:L25)</f>
        <v>0</v>
      </c>
      <c r="M26" s="44">
        <f t="shared" ref="M26" si="4">SUM(M22:M25)</f>
        <v>0</v>
      </c>
      <c r="N26" s="44">
        <f t="shared" ref="N26" si="5">SUM(N22:N25)</f>
        <v>0</v>
      </c>
      <c r="O26" s="4"/>
      <c r="P26" s="60">
        <f>SUM(C26:N26)</f>
        <v>41605.619999999995</v>
      </c>
    </row>
    <row r="27" spans="2:16" x14ac:dyDescent="0.3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5">
      <c r="B28" s="46" t="s">
        <v>36</v>
      </c>
      <c r="C28" s="47">
        <f t="shared" ref="C28:N28" si="6">C19-C26</f>
        <v>1058.1199999999999</v>
      </c>
      <c r="D28" s="47">
        <f t="shared" si="6"/>
        <v>527.54</v>
      </c>
      <c r="E28" s="47">
        <f t="shared" si="6"/>
        <v>-2390.6400000000003</v>
      </c>
      <c r="F28" s="47">
        <f t="shared" si="6"/>
        <v>-281.61999999999989</v>
      </c>
      <c r="G28" s="47">
        <f t="shared" si="6"/>
        <v>-7.4600000000000364</v>
      </c>
      <c r="H28" s="47">
        <f t="shared" si="6"/>
        <v>-4.1499999999996362</v>
      </c>
      <c r="I28" s="47">
        <f t="shared" si="6"/>
        <v>568.57999999999993</v>
      </c>
      <c r="J28" s="47">
        <f t="shared" si="6"/>
        <v>-4139.99</v>
      </c>
      <c r="K28" s="47">
        <f t="shared" si="6"/>
        <v>0</v>
      </c>
      <c r="L28" s="47">
        <f t="shared" si="6"/>
        <v>0</v>
      </c>
      <c r="M28" s="47">
        <f t="shared" si="6"/>
        <v>0</v>
      </c>
      <c r="N28" s="47">
        <f t="shared" si="6"/>
        <v>0</v>
      </c>
      <c r="P28" s="59">
        <f>SUM(C28:O28)</f>
        <v>-4669.62</v>
      </c>
    </row>
    <row r="30" spans="2:16" x14ac:dyDescent="0.35">
      <c r="B30" s="62" t="s">
        <v>37</v>
      </c>
      <c r="C30" s="54">
        <v>660</v>
      </c>
      <c r="D30" s="54">
        <v>600</v>
      </c>
      <c r="E30" s="54">
        <v>270</v>
      </c>
      <c r="F30" s="54">
        <v>510</v>
      </c>
      <c r="G30" s="54">
        <v>540</v>
      </c>
      <c r="H30" s="54">
        <v>540</v>
      </c>
      <c r="I30" s="54">
        <v>660</v>
      </c>
      <c r="J30" s="54"/>
      <c r="K30" s="54"/>
      <c r="L30" s="54"/>
      <c r="M30" s="54"/>
      <c r="N30" s="54"/>
      <c r="P30" s="61">
        <f>SUM(C30:N30)</f>
        <v>3780</v>
      </c>
    </row>
    <row r="31" spans="2:16" x14ac:dyDescent="0.35">
      <c r="B31" s="62" t="s">
        <v>38</v>
      </c>
      <c r="C31" s="54">
        <v>335.62</v>
      </c>
      <c r="D31" s="54">
        <v>314.2</v>
      </c>
      <c r="E31" s="54">
        <v>196.39</v>
      </c>
      <c r="F31" s="54">
        <v>282.07</v>
      </c>
      <c r="G31" s="54">
        <v>292.77999999999997</v>
      </c>
      <c r="H31" s="54">
        <v>292.77999999999997</v>
      </c>
      <c r="I31" s="54">
        <v>335.62</v>
      </c>
      <c r="J31" s="54"/>
      <c r="K31" s="54"/>
      <c r="L31" s="54"/>
      <c r="M31" s="54"/>
      <c r="N31" s="54"/>
      <c r="P31" s="61">
        <f>SUM(C31:N31)</f>
        <v>2049.46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7" t="s">
        <v>23</v>
      </c>
      <c r="C2" s="68"/>
    </row>
    <row r="3" spans="2:3" ht="30" customHeight="1" x14ac:dyDescent="0.35">
      <c r="B3" s="33" t="s">
        <v>12</v>
      </c>
      <c r="C3" s="34">
        <v>0.08</v>
      </c>
    </row>
    <row r="4" spans="2:3" ht="30" customHeight="1" x14ac:dyDescent="0.35">
      <c r="B4" s="33" t="s">
        <v>13</v>
      </c>
      <c r="C4" s="33">
        <v>75</v>
      </c>
    </row>
    <row r="5" spans="2:3" ht="30" customHeight="1" x14ac:dyDescent="0.35">
      <c r="B5" s="33" t="s">
        <v>41</v>
      </c>
      <c r="C5" s="33">
        <v>300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3" sqref="C3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9" t="s">
        <v>33</v>
      </c>
      <c r="C2" s="69"/>
    </row>
    <row r="3" spans="2:3" ht="17" customHeight="1" x14ac:dyDescent="0.35">
      <c r="B3" s="38" t="s">
        <v>34</v>
      </c>
      <c r="C3" s="39">
        <f>'2024'!P27+'2025'!P28</f>
        <v>-6.4800000000022919</v>
      </c>
    </row>
    <row r="4" spans="2:3" ht="17" customHeight="1" x14ac:dyDescent="0.35">
      <c r="B4" s="38" t="s">
        <v>39</v>
      </c>
      <c r="C4" s="40">
        <f>'2024'!P12+'2025'!P12</f>
        <v>26.240000000000002</v>
      </c>
    </row>
    <row r="5" spans="2:3" x14ac:dyDescent="0.35">
      <c r="B5" s="38" t="s">
        <v>44</v>
      </c>
      <c r="C5" s="40">
        <f>(16*2.08)-C4</f>
        <v>7.0399999999999991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'2024'!FRAIS_KM</vt:lpstr>
      <vt:lpstr>'2025'!FRAIS_KM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2025-08-27T08:51:11Z</dcterms:modified>
</cp:coreProperties>
</file>