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2\STC\Cedric GOUYVENOUX (PEE)  - 31-12-2024\suivi\"/>
    </mc:Choice>
  </mc:AlternateContent>
  <bookViews>
    <workbookView xWindow="0" yWindow="0" windowWidth="14194" windowHeight="2563" activeTab="1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'2024'!$B$26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FRAIS_PEE_AMUNSI">'2024'!$B$25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INTERESSEMENT_CSG_CRDS">'2024'!$B$24</definedName>
    <definedName name="SORTIES_INTERESSEMENT_NET">'2024'!$B$23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'2024'!$B$28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6" i="16" l="1"/>
  <c r="P27" i="15" l="1"/>
  <c r="N17" i="16"/>
  <c r="N28" i="16" l="1"/>
  <c r="P27" i="16"/>
  <c r="M26" i="16"/>
  <c r="L26" i="16"/>
  <c r="K26" i="16"/>
  <c r="J26" i="16"/>
  <c r="I26" i="16"/>
  <c r="H26" i="16"/>
  <c r="G26" i="16"/>
  <c r="F26" i="16"/>
  <c r="E26" i="16"/>
  <c r="D26" i="16"/>
  <c r="C26" i="16"/>
  <c r="C28" i="16" s="1"/>
  <c r="K25" i="16"/>
  <c r="H25" i="16"/>
  <c r="H28" i="16" s="1"/>
  <c r="M24" i="16"/>
  <c r="L24" i="16"/>
  <c r="K24" i="16"/>
  <c r="J24" i="16"/>
  <c r="I24" i="16"/>
  <c r="H24" i="16"/>
  <c r="G24" i="16"/>
  <c r="F24" i="16"/>
  <c r="P24" i="16" s="1"/>
  <c r="E24" i="16"/>
  <c r="D24" i="16"/>
  <c r="M23" i="16"/>
  <c r="M25" i="16" s="1"/>
  <c r="M28" i="16" s="1"/>
  <c r="L23" i="16"/>
  <c r="K23" i="16"/>
  <c r="K28" i="16" s="1"/>
  <c r="J23" i="16"/>
  <c r="J25" i="16" s="1"/>
  <c r="J28" i="16" s="1"/>
  <c r="I23" i="16"/>
  <c r="H23" i="16"/>
  <c r="G23" i="16"/>
  <c r="G25" i="16" s="1"/>
  <c r="G28" i="16" s="1"/>
  <c r="F23" i="16"/>
  <c r="E23" i="16"/>
  <c r="E25" i="16" s="1"/>
  <c r="E28" i="16" s="1"/>
  <c r="D23" i="16"/>
  <c r="P22" i="16"/>
  <c r="N19" i="16"/>
  <c r="L19" i="16"/>
  <c r="K19" i="16"/>
  <c r="K30" i="16" s="1"/>
  <c r="F19" i="16"/>
  <c r="D19" i="16"/>
  <c r="C19" i="16"/>
  <c r="P18" i="16"/>
  <c r="M17" i="16"/>
  <c r="M19" i="16" s="1"/>
  <c r="M30" i="16" s="1"/>
  <c r="L17" i="16"/>
  <c r="K17" i="16"/>
  <c r="J17" i="16"/>
  <c r="J19" i="16" s="1"/>
  <c r="J30" i="16" s="1"/>
  <c r="I17" i="16"/>
  <c r="I19" i="16" s="1"/>
  <c r="H17" i="16"/>
  <c r="H19" i="16" s="1"/>
  <c r="G17" i="16"/>
  <c r="G19" i="16" s="1"/>
  <c r="F17" i="16"/>
  <c r="E17" i="16"/>
  <c r="E19" i="16" s="1"/>
  <c r="E30" i="16" s="1"/>
  <c r="D17" i="16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H27" i="15"/>
  <c r="M25" i="15"/>
  <c r="J25" i="15"/>
  <c r="H25" i="15"/>
  <c r="G25" i="15"/>
  <c r="F25" i="15"/>
  <c r="E25" i="15"/>
  <c r="E27" i="15" s="1"/>
  <c r="D25" i="15"/>
  <c r="C25" i="15"/>
  <c r="P24" i="15"/>
  <c r="N23" i="15"/>
  <c r="N25" i="15" s="1"/>
  <c r="M23" i="15"/>
  <c r="L23" i="15"/>
  <c r="L25" i="15" s="1"/>
  <c r="K23" i="15"/>
  <c r="K25" i="15" s="1"/>
  <c r="J23" i="15"/>
  <c r="I23" i="15"/>
  <c r="I25" i="15" s="1"/>
  <c r="P22" i="15"/>
  <c r="N19" i="15"/>
  <c r="N27" i="15" s="1"/>
  <c r="K19" i="15"/>
  <c r="H19" i="15"/>
  <c r="G19" i="15"/>
  <c r="G27" i="15" s="1"/>
  <c r="F19" i="15"/>
  <c r="F27" i="15" s="1"/>
  <c r="E19" i="15"/>
  <c r="D19" i="15"/>
  <c r="D27" i="15" s="1"/>
  <c r="C19" i="15"/>
  <c r="C27" i="15" s="1"/>
  <c r="P18" i="15"/>
  <c r="N17" i="15"/>
  <c r="M17" i="15"/>
  <c r="M19" i="15" s="1"/>
  <c r="M27" i="15" s="1"/>
  <c r="L17" i="15"/>
  <c r="L19" i="15" s="1"/>
  <c r="L27" i="15" s="1"/>
  <c r="K17" i="15"/>
  <c r="J17" i="15"/>
  <c r="J19" i="15" s="1"/>
  <c r="J27" i="15" s="1"/>
  <c r="I17" i="15"/>
  <c r="I19" i="15" s="1"/>
  <c r="I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N30" i="16" l="1"/>
  <c r="P30" i="16" s="1"/>
  <c r="P8" i="16"/>
  <c r="P17" i="16"/>
  <c r="K27" i="15"/>
  <c r="D28" i="16"/>
  <c r="L28" i="16"/>
  <c r="L30" i="16" s="1"/>
  <c r="G30" i="16"/>
  <c r="P19" i="16"/>
  <c r="P25" i="15"/>
  <c r="H30" i="16"/>
  <c r="F28" i="16"/>
  <c r="F30" i="16" s="1"/>
  <c r="I25" i="16"/>
  <c r="I28" i="16" s="1"/>
  <c r="I30" i="16" s="1"/>
  <c r="C30" i="16"/>
  <c r="P23" i="16"/>
  <c r="P26" i="16"/>
  <c r="P19" i="15"/>
  <c r="P23" i="15"/>
  <c r="D25" i="16"/>
  <c r="L25" i="16"/>
  <c r="P17" i="15"/>
  <c r="F25" i="16"/>
  <c r="P28" i="16" l="1"/>
  <c r="P25" i="16"/>
  <c r="D30" i="16"/>
  <c r="C3" i="13"/>
</calcChain>
</file>

<file path=xl/comments1.xml><?xml version="1.0" encoding="utf-8"?>
<comments xmlns="http://schemas.openxmlformats.org/spreadsheetml/2006/main">
  <authors>
    <author>PC-HOUDA</author>
    <author>youss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Dans sa cagnotte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D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
</t>
        </r>
      </text>
    </comment>
  </commentList>
</comments>
</file>

<file path=xl/sharedStrings.xml><?xml version="1.0" encoding="utf-8"?>
<sst xmlns="http://schemas.openxmlformats.org/spreadsheetml/2006/main" count="78" uniqueCount="43">
  <si>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</si>
  <si>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</si>
  <si>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</si>
  <si>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</si>
  <si>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</si>
  <si>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</si>
  <si>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</si>
  <si>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</si>
  <si>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</si>
  <si>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</si>
  <si>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</si>
  <si>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</si>
  <si>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</si>
  <si>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</si>
  <si>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</si>
  <si>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</si>
  <si>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</si>
  <si>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</si>
  <si>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</si>
  <si>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</si>
  <si>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</si>
  <si>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</si>
  <si>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</si>
  <si>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</si>
  <si>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</si>
  <si>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</si>
  <si>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</si>
  <si>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</si>
  <si>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</si>
  <si>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</si>
  <si>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</si>
  <si>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</si>
  <si>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</si>
  <si>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</si>
  <si>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</si>
  <si>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</si>
  <si>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</si>
  <si>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</si>
  <si>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(Juilet 2023)</t>
  </si>
  <si>
    <t>Achat HT</t>
  </si>
  <si>
    <t>Intéressement Net</t>
  </si>
  <si>
    <t>CSG/CRDS Intéressement</t>
  </si>
  <si>
    <t>Frais PEE Amundi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</si>
</sst>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6" fillId="0" borderId="4" xfId="0" applyFont="1" applyBorder="1" applyProtection="1">
      <protection locked="0"/>
    </xf>
    <xf numFmtId="4" fontId="17" fillId="4" borderId="4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5" fillId="0" borderId="4" xfId="0" applyFont="1" applyBorder="1" applyProtection="1">
      <protection locked="0"/>
    </xf>
    <xf numFmtId="4" fontId="19" fillId="4" borderId="4" xfId="0" applyNumberFormat="1" applyFont="1" applyFill="1" applyBorder="1"/>
    <xf numFmtId="0" fontId="15" fillId="0" borderId="11" xfId="0" applyFont="1" applyBorder="1" applyProtection="1">
      <protection locked="0"/>
    </xf>
    <xf numFmtId="4" fontId="18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27"/>
  <sheetViews>
    <sheetView topLeftCell="B16" workbookViewId="0">
      <selection activeCell="P28" sqref="P28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71" t="s">
        <v>9</v>
      </c>
    </row>
    <row r="2" spans="2:16" x14ac:dyDescent="0.4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/>
      <c r="D6" s="56"/>
      <c r="E6" s="56"/>
      <c r="F6" s="33"/>
      <c r="G6" s="33"/>
      <c r="H6" s="33"/>
      <c r="I6" s="33">
        <v>15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110</v>
      </c>
    </row>
    <row r="7" spans="2:16" x14ac:dyDescent="0.4">
      <c r="B7" s="8" t="s">
        <v>20</v>
      </c>
      <c r="C7" s="33"/>
      <c r="D7" s="33"/>
      <c r="E7" s="33"/>
      <c r="F7" s="33"/>
      <c r="G7" s="33"/>
      <c r="H7" s="33"/>
      <c r="I7" s="33">
        <v>15</v>
      </c>
      <c r="J7" s="33">
        <v>17</v>
      </c>
      <c r="K7" s="33">
        <v>20</v>
      </c>
      <c r="L7" s="33">
        <v>22</v>
      </c>
      <c r="M7" s="33">
        <v>21</v>
      </c>
      <c r="N7" s="33">
        <v>20</v>
      </c>
      <c r="O7" s="31"/>
      <c r="P7" s="52">
        <f>SUM(C7:N7)</f>
        <v>115</v>
      </c>
    </row>
    <row r="8" spans="2:16" x14ac:dyDescent="0.4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-2</v>
      </c>
      <c r="K8" s="32">
        <f t="shared" si="0"/>
        <v>1</v>
      </c>
      <c r="L8" s="32">
        <f t="shared" si="0"/>
        <v>3</v>
      </c>
      <c r="M8" s="32">
        <f t="shared" si="0"/>
        <v>2</v>
      </c>
      <c r="N8" s="32">
        <f t="shared" si="0"/>
        <v>1</v>
      </c>
      <c r="O8" s="31"/>
      <c r="P8" s="52">
        <f>SUM(C8:N8)</f>
        <v>5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/>
      <c r="D11" s="10"/>
      <c r="E11" s="10"/>
      <c r="F11" s="10"/>
      <c r="G11" s="10"/>
      <c r="H11" s="10"/>
      <c r="I11" s="10">
        <v>15</v>
      </c>
      <c r="J11" s="10">
        <v>17</v>
      </c>
      <c r="K11" s="10">
        <v>20</v>
      </c>
      <c r="L11" s="10">
        <v>22</v>
      </c>
      <c r="M11" s="10">
        <v>21</v>
      </c>
      <c r="N11" s="10">
        <v>20</v>
      </c>
      <c r="P11" s="53">
        <f>SUM(C11:N11)</f>
        <v>115</v>
      </c>
    </row>
    <row r="12" spans="2:16" x14ac:dyDescent="0.4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5</v>
      </c>
      <c r="K12" s="11"/>
      <c r="L12" s="11"/>
      <c r="M12" s="11"/>
      <c r="N12" s="11"/>
      <c r="P12" s="53">
        <f>SUM(C12:N12)</f>
        <v>5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/>
      <c r="D14" s="20"/>
      <c r="E14" s="20"/>
      <c r="F14" s="20"/>
      <c r="G14" s="20"/>
      <c r="H14" s="20"/>
      <c r="I14" s="20">
        <v>7</v>
      </c>
      <c r="J14" s="20">
        <v>7</v>
      </c>
      <c r="K14" s="20">
        <v>7</v>
      </c>
      <c r="L14" s="20"/>
      <c r="M14" s="20">
        <v>7</v>
      </c>
      <c r="N14" s="20"/>
      <c r="P14" s="53">
        <f>SUM(C14:N14)</f>
        <v>28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9585</v>
      </c>
      <c r="J17" s="9">
        <f>J11*Params!$C$5*(1-Params!$C$3)-Params!$C$4</f>
        <v>10873</v>
      </c>
      <c r="K17" s="9">
        <f>K11*Params!$C$5*(1-Params!$C$3)-Params!$C$4</f>
        <v>12805</v>
      </c>
      <c r="L17" s="9">
        <f>L11*Params!$C$5*(1-Params!$C$3)-Params!$C$4</f>
        <v>14093</v>
      </c>
      <c r="M17" s="9">
        <f>M11*Params!$C$5*(1-Params!$C$3)-Params!$C$4</f>
        <v>13449</v>
      </c>
      <c r="N17" s="9">
        <f>N11*Params!$C$5*(1-Params!$C$3)-Params!$C$4</f>
        <v>12805</v>
      </c>
      <c r="O17" s="4"/>
      <c r="P17" s="37">
        <f>SUM(C17:N17)</f>
        <v>73610</v>
      </c>
    </row>
    <row r="18" spans="2:16" x14ac:dyDescent="0.4">
      <c r="B18" s="8" t="s">
        <v>14</v>
      </c>
      <c r="C18" s="9"/>
      <c r="D18" s="9"/>
      <c r="E18" s="9"/>
      <c r="F18" s="9"/>
      <c r="G18" s="9"/>
      <c r="H18" s="9"/>
      <c r="I18" s="9">
        <v>1280</v>
      </c>
      <c r="J18" s="9">
        <v>2080</v>
      </c>
      <c r="K18" s="9">
        <v>1655</v>
      </c>
      <c r="L18" s="9"/>
      <c r="M18" s="9">
        <v>2380</v>
      </c>
      <c r="N18" s="9"/>
      <c r="O18" s="4"/>
      <c r="P18" s="37">
        <f>SUM(C18:N18)</f>
        <v>7395</v>
      </c>
    </row>
    <row r="19" spans="2:16" x14ac:dyDescent="0.4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10865</v>
      </c>
      <c r="J19" s="25">
        <f t="shared" si="1"/>
        <v>12953</v>
      </c>
      <c r="K19" s="25">
        <f t="shared" si="1"/>
        <v>14460</v>
      </c>
      <c r="L19" s="25">
        <f t="shared" si="1"/>
        <v>14093</v>
      </c>
      <c r="M19" s="25">
        <f t="shared" si="1"/>
        <v>15829</v>
      </c>
      <c r="N19" s="25">
        <f t="shared" si="1"/>
        <v>12805</v>
      </c>
      <c r="O19" s="5"/>
      <c r="P19" s="38">
        <f>SUM(C19:O19)</f>
        <v>81005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/>
      <c r="D22" s="9"/>
      <c r="E22" s="9"/>
      <c r="F22" s="9"/>
      <c r="G22" s="9"/>
      <c r="H22" s="9"/>
      <c r="I22" s="9">
        <v>5748.69</v>
      </c>
      <c r="J22" s="9">
        <v>7727.4</v>
      </c>
      <c r="K22" s="9">
        <v>7727.4</v>
      </c>
      <c r="L22" s="9">
        <v>7769.24</v>
      </c>
      <c r="M22" s="9">
        <v>7769.24</v>
      </c>
      <c r="N22" s="9">
        <v>7769.24</v>
      </c>
      <c r="O22" s="4"/>
      <c r="P22" s="39">
        <f>SUM(C22:N22)</f>
        <v>44511.209999999992</v>
      </c>
    </row>
    <row r="23" spans="2:16" x14ac:dyDescent="0.4">
      <c r="B23" s="8" t="s">
        <v>8</v>
      </c>
      <c r="C23" s="9"/>
      <c r="D23" s="9"/>
      <c r="E23" s="9"/>
      <c r="F23" s="9"/>
      <c r="G23" s="9"/>
      <c r="H23" s="9"/>
      <c r="I23" s="9">
        <f>1097.83+2208.53</f>
        <v>3306.36</v>
      </c>
      <c r="J23" s="9">
        <f>1468.6+2964.53</f>
        <v>4433.13</v>
      </c>
      <c r="K23" s="9">
        <f>1468.6+2977.67</f>
        <v>4446.2700000000004</v>
      </c>
      <c r="L23" s="9">
        <f>1426.76+2926.4</f>
        <v>4353.16</v>
      </c>
      <c r="M23" s="9">
        <f>1426.76+2926.4</f>
        <v>4353.16</v>
      </c>
      <c r="N23" s="9">
        <f>1426.76+2926.4</f>
        <v>4353.16</v>
      </c>
      <c r="O23" s="4"/>
      <c r="P23" s="39">
        <f>SUM(C23:N23)</f>
        <v>25245.239999999998</v>
      </c>
    </row>
    <row r="24" spans="2:16" x14ac:dyDescent="0.4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7">
        <f>SUM(C24:N24)</f>
        <v>1232.5</v>
      </c>
    </row>
    <row r="25" spans="2:16" x14ac:dyDescent="0.4">
      <c r="B25" s="7" t="s">
        <v>3</v>
      </c>
      <c r="C25" s="40">
        <f>SUM(C22:C23)</f>
        <v>0</v>
      </c>
      <c r="D25" s="40">
        <f>SUM(D22:D23)</f>
        <v>0</v>
      </c>
      <c r="E25" s="40">
        <f>SUM(E22:E23)</f>
        <v>0</v>
      </c>
      <c r="F25" s="40">
        <f>SUM(F22:F23)</f>
        <v>0</v>
      </c>
      <c r="G25" s="40">
        <f t="shared" ref="G25:N25" si="2">SUM(G22:G24)</f>
        <v>0</v>
      </c>
      <c r="H25" s="40">
        <f t="shared" si="2"/>
        <v>0</v>
      </c>
      <c r="I25" s="40">
        <f t="shared" si="2"/>
        <v>9055.0499999999993</v>
      </c>
      <c r="J25" s="40">
        <f t="shared" si="2"/>
        <v>12160.529999999999</v>
      </c>
      <c r="K25" s="40">
        <f t="shared" si="2"/>
        <v>12173.67</v>
      </c>
      <c r="L25" s="40">
        <f t="shared" si="2"/>
        <v>13354.9</v>
      </c>
      <c r="M25" s="40">
        <f t="shared" si="2"/>
        <v>12122.4</v>
      </c>
      <c r="N25" s="40">
        <f t="shared" si="2"/>
        <v>12122.4</v>
      </c>
      <c r="O25" s="4"/>
      <c r="P25" s="41">
        <f>SUM(C25:N25)</f>
        <v>70988.95</v>
      </c>
    </row>
    <row r="26" spans="2:16" x14ac:dyDescent="0.4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1809.9500000000007</v>
      </c>
      <c r="J27" s="44">
        <f t="shared" si="3"/>
        <v>792.47000000000116</v>
      </c>
      <c r="K27" s="44">
        <f t="shared" si="3"/>
        <v>2286.33</v>
      </c>
      <c r="L27" s="44">
        <f t="shared" si="3"/>
        <v>738.10000000000036</v>
      </c>
      <c r="M27" s="44">
        <f t="shared" si="3"/>
        <v>3706.6000000000004</v>
      </c>
      <c r="N27" s="44">
        <f t="shared" si="3"/>
        <v>682.60000000000036</v>
      </c>
      <c r="P27" s="54">
        <f>SUM(C27:N27)</f>
        <v>10016.050000000003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topLeftCell="A10" workbookViewId="0">
      <selection activeCell="N27" sqref="N27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71" t="s">
        <v>9</v>
      </c>
    </row>
    <row r="2" spans="2:16" x14ac:dyDescent="0.4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">
      <c r="B7" s="8" t="s">
        <v>20</v>
      </c>
      <c r="C7" s="33">
        <v>15</v>
      </c>
      <c r="D7" s="33">
        <v>20</v>
      </c>
      <c r="E7" s="33">
        <v>21</v>
      </c>
      <c r="F7" s="33">
        <v>21</v>
      </c>
      <c r="G7" s="33">
        <v>19</v>
      </c>
      <c r="H7" s="33">
        <v>20</v>
      </c>
      <c r="I7" s="33">
        <v>18</v>
      </c>
      <c r="J7" s="33">
        <v>21</v>
      </c>
      <c r="K7" s="33">
        <v>20</v>
      </c>
      <c r="L7" s="33">
        <v>18</v>
      </c>
      <c r="M7" s="33">
        <v>18</v>
      </c>
      <c r="N7" s="33">
        <v>12</v>
      </c>
      <c r="O7" s="31"/>
      <c r="P7" s="52">
        <f>SUM(C7:N7)</f>
        <v>223</v>
      </c>
    </row>
    <row r="8" spans="2:16" x14ac:dyDescent="0.4">
      <c r="B8" s="16" t="s">
        <v>21</v>
      </c>
      <c r="C8" s="32">
        <f t="shared" ref="C8:N8" si="0">C7-C6</f>
        <v>-4</v>
      </c>
      <c r="D8" s="32">
        <f t="shared" si="0"/>
        <v>1</v>
      </c>
      <c r="E8" s="32">
        <f t="shared" si="0"/>
        <v>2</v>
      </c>
      <c r="F8" s="32">
        <f t="shared" si="0"/>
        <v>2</v>
      </c>
      <c r="G8" s="32">
        <f t="shared" si="0"/>
        <v>0</v>
      </c>
      <c r="H8" s="32">
        <f t="shared" si="0"/>
        <v>1</v>
      </c>
      <c r="I8" s="32">
        <f t="shared" si="0"/>
        <v>-1</v>
      </c>
      <c r="J8" s="32">
        <f t="shared" si="0"/>
        <v>2</v>
      </c>
      <c r="K8" s="32">
        <f t="shared" si="0"/>
        <v>1</v>
      </c>
      <c r="L8" s="32">
        <f t="shared" si="0"/>
        <v>-1</v>
      </c>
      <c r="M8" s="32">
        <f t="shared" si="0"/>
        <v>-1</v>
      </c>
      <c r="N8" s="32">
        <f t="shared" si="0"/>
        <v>-7</v>
      </c>
      <c r="O8" s="31"/>
      <c r="P8" s="52">
        <f>SUM(C8:N8)</f>
        <v>-5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15</v>
      </c>
      <c r="D11" s="10">
        <v>20</v>
      </c>
      <c r="E11" s="10">
        <v>21</v>
      </c>
      <c r="F11" s="10">
        <v>21</v>
      </c>
      <c r="G11" s="10">
        <v>19</v>
      </c>
      <c r="H11" s="10">
        <v>20</v>
      </c>
      <c r="I11" s="10">
        <v>18</v>
      </c>
      <c r="J11" s="10">
        <v>21</v>
      </c>
      <c r="K11" s="10">
        <v>20</v>
      </c>
      <c r="L11" s="10">
        <v>18</v>
      </c>
      <c r="M11" s="10">
        <v>18</v>
      </c>
      <c r="N11" s="10">
        <v>12</v>
      </c>
      <c r="P11" s="53">
        <f>SUM(C11:N11)</f>
        <v>223</v>
      </c>
    </row>
    <row r="12" spans="2:16" x14ac:dyDescent="0.4">
      <c r="B12" s="8" t="s">
        <v>15</v>
      </c>
      <c r="C12" s="11">
        <v>7</v>
      </c>
      <c r="D12" s="11">
        <v>5</v>
      </c>
      <c r="E12" s="11"/>
      <c r="F12" s="11"/>
      <c r="G12" s="11"/>
      <c r="H12" s="11"/>
      <c r="I12" s="11">
        <v>5</v>
      </c>
      <c r="J12" s="11"/>
      <c r="K12" s="11">
        <v>1</v>
      </c>
      <c r="L12" s="11">
        <v>5</v>
      </c>
      <c r="M12" s="11">
        <v>1</v>
      </c>
      <c r="N12" s="11">
        <v>9</v>
      </c>
      <c r="P12" s="53">
        <f>SUM(C12:N12)</f>
        <v>33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/>
      <c r="D14" s="20"/>
      <c r="E14" s="20"/>
      <c r="F14" s="20">
        <v>7</v>
      </c>
      <c r="G14" s="20"/>
      <c r="H14" s="20">
        <v>7</v>
      </c>
      <c r="I14" s="20">
        <v>7</v>
      </c>
      <c r="J14" s="20">
        <v>7</v>
      </c>
      <c r="K14" s="20">
        <v>7</v>
      </c>
      <c r="L14" s="20"/>
      <c r="M14" s="20">
        <v>7</v>
      </c>
      <c r="N14" s="20"/>
      <c r="P14" s="53">
        <f>SUM(C14:N14)</f>
        <v>42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C11*Params!$C$5*(1-Params!$C$3)-Params!$C$4</f>
        <v>9585</v>
      </c>
      <c r="D17" s="9">
        <f>D11*Params!$C$5*(1-Params!$C$3)-Params!$C$4</f>
        <v>12805</v>
      </c>
      <c r="E17" s="9">
        <f>E11*Params!$C$5*(1-Params!$C$3)-Params!$C$4</f>
        <v>13449</v>
      </c>
      <c r="F17" s="9">
        <f>F11*Params!$C$5*(1-Params!$C$3)-Params!$C$4</f>
        <v>13449</v>
      </c>
      <c r="G17" s="9">
        <f>G11*Params!$C$5*(1-Params!$C$3)-Params!$C$4</f>
        <v>12161</v>
      </c>
      <c r="H17" s="9">
        <f>H11*Params!$C$5*(1-Params!$C$3)-Params!$C$4</f>
        <v>12805</v>
      </c>
      <c r="I17" s="9">
        <f>I11*Params!$C$5*(1-Params!$C$3)-Params!$C$4</f>
        <v>11517</v>
      </c>
      <c r="J17" s="9">
        <f>J11*Params!$C$5*(1-Params!$C$3)-Params!$C$4</f>
        <v>13449</v>
      </c>
      <c r="K17" s="9">
        <f>K11*Params!$C$5*(1-Params!$C$3)-Params!$C$4</f>
        <v>12805</v>
      </c>
      <c r="L17" s="9">
        <f>L11*Params!$C$5*(1-Params!$C$3)-Params!$C$4</f>
        <v>11517</v>
      </c>
      <c r="M17" s="9">
        <f>M11*Params!$C$5*(1-Params!$C$3)-Params!$C$4</f>
        <v>11517</v>
      </c>
      <c r="N17" s="9">
        <f>N11*Params!$C$5*(1-Params!$C$3)-Params!$C$4</f>
        <v>7653</v>
      </c>
      <c r="O17" s="4"/>
      <c r="P17" s="37">
        <f>SUM(C17:N17)</f>
        <v>142712</v>
      </c>
    </row>
    <row r="18" spans="2:16" x14ac:dyDescent="0.4">
      <c r="B18" s="8" t="s">
        <v>14</v>
      </c>
      <c r="C18" s="9"/>
      <c r="D18" s="9">
        <v>991</v>
      </c>
      <c r="E18" s="9"/>
      <c r="F18" s="9">
        <v>830</v>
      </c>
      <c r="G18" s="9"/>
      <c r="H18" s="9">
        <v>1230</v>
      </c>
      <c r="I18" s="9">
        <v>1580</v>
      </c>
      <c r="J18" s="9">
        <v>1280</v>
      </c>
      <c r="K18" s="9">
        <v>2080</v>
      </c>
      <c r="L18" s="9"/>
      <c r="M18" s="9">
        <v>680</v>
      </c>
      <c r="N18" s="9"/>
      <c r="O18" s="4"/>
      <c r="P18" s="37">
        <f>SUM(C18:N18)</f>
        <v>8671</v>
      </c>
    </row>
    <row r="19" spans="2:16" x14ac:dyDescent="0.4">
      <c r="B19" s="24" t="s">
        <v>2</v>
      </c>
      <c r="C19" s="25">
        <f t="shared" ref="C19:N19" si="1">SUM(C17:C18)</f>
        <v>9585</v>
      </c>
      <c r="D19" s="25">
        <f t="shared" si="1"/>
        <v>13796</v>
      </c>
      <c r="E19" s="25">
        <f t="shared" si="1"/>
        <v>13449</v>
      </c>
      <c r="F19" s="25">
        <f t="shared" si="1"/>
        <v>14279</v>
      </c>
      <c r="G19" s="25">
        <f t="shared" si="1"/>
        <v>12161</v>
      </c>
      <c r="H19" s="25">
        <f t="shared" si="1"/>
        <v>14035</v>
      </c>
      <c r="I19" s="25">
        <f t="shared" si="1"/>
        <v>13097</v>
      </c>
      <c r="J19" s="25">
        <f t="shared" si="1"/>
        <v>14729</v>
      </c>
      <c r="K19" s="25">
        <f t="shared" si="1"/>
        <v>14885</v>
      </c>
      <c r="L19" s="25">
        <f t="shared" si="1"/>
        <v>11517</v>
      </c>
      <c r="M19" s="25">
        <f t="shared" si="1"/>
        <v>12197</v>
      </c>
      <c r="N19" s="25">
        <f t="shared" si="1"/>
        <v>7653</v>
      </c>
      <c r="O19" s="5"/>
      <c r="P19" s="38">
        <f>SUM(C19:O19)</f>
        <v>151383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7773.68</v>
      </c>
      <c r="D22" s="9">
        <v>6461.86</v>
      </c>
      <c r="E22" s="9">
        <v>6461.86</v>
      </c>
      <c r="F22" s="9">
        <v>6461.86</v>
      </c>
      <c r="G22" s="9">
        <v>6461.86</v>
      </c>
      <c r="H22" s="9">
        <v>6461.86</v>
      </c>
      <c r="I22" s="9">
        <v>6461.86</v>
      </c>
      <c r="J22" s="9">
        <v>6461.86</v>
      </c>
      <c r="K22" s="9">
        <v>6461.86</v>
      </c>
      <c r="L22" s="9">
        <v>6532.85</v>
      </c>
      <c r="M22" s="9">
        <v>6461.86</v>
      </c>
      <c r="N22" s="9">
        <v>16175.13</v>
      </c>
      <c r="O22" s="4"/>
      <c r="P22" s="39">
        <f t="shared" ref="P22:P28" si="2">SUM(C22:N22)</f>
        <v>88638.400000000009</v>
      </c>
    </row>
    <row r="23" spans="2:16" s="65" customFormat="1" x14ac:dyDescent="0.4">
      <c r="B23" s="62" t="s">
        <v>40</v>
      </c>
      <c r="C23" s="63"/>
      <c r="D23" s="63">
        <f t="shared" ref="D23:K23" si="3">(7263.71/5)*(1-9.7%)</f>
        <v>1311.826026</v>
      </c>
      <c r="E23" s="63">
        <f t="shared" si="3"/>
        <v>1311.826026</v>
      </c>
      <c r="F23" s="63">
        <f t="shared" si="3"/>
        <v>1311.826026</v>
      </c>
      <c r="G23" s="63">
        <f t="shared" si="3"/>
        <v>1311.826026</v>
      </c>
      <c r="H23" s="63">
        <f t="shared" si="3"/>
        <v>1311.826026</v>
      </c>
      <c r="I23" s="63">
        <f t="shared" si="3"/>
        <v>1311.826026</v>
      </c>
      <c r="J23" s="63">
        <f t="shared" si="3"/>
        <v>1311.826026</v>
      </c>
      <c r="K23" s="63">
        <f t="shared" si="3"/>
        <v>1311.826026</v>
      </c>
      <c r="L23" s="63">
        <f>(7352.35/5)*(1-9.7%)</f>
        <v>1327.8344100000002</v>
      </c>
      <c r="M23" s="63">
        <f>(7263.71/5)*(1-9.7%)</f>
        <v>1311.826026</v>
      </c>
      <c r="N23" s="63"/>
      <c r="O23" s="64"/>
      <c r="P23" s="69">
        <f t="shared" si="2"/>
        <v>13134.268644</v>
      </c>
    </row>
    <row r="24" spans="2:16" x14ac:dyDescent="0.4">
      <c r="B24" s="66" t="s">
        <v>41</v>
      </c>
      <c r="C24" s="67"/>
      <c r="D24" s="67">
        <f t="shared" ref="D24:K24" si="4">(7263.71/5)*9.7%</f>
        <v>140.91597399999998</v>
      </c>
      <c r="E24" s="67">
        <f t="shared" si="4"/>
        <v>140.91597399999998</v>
      </c>
      <c r="F24" s="67">
        <f t="shared" si="4"/>
        <v>140.91597399999998</v>
      </c>
      <c r="G24" s="67">
        <f t="shared" si="4"/>
        <v>140.91597399999998</v>
      </c>
      <c r="H24" s="67">
        <f t="shared" si="4"/>
        <v>140.91597399999998</v>
      </c>
      <c r="I24" s="67">
        <f t="shared" si="4"/>
        <v>140.91597399999998</v>
      </c>
      <c r="J24" s="67">
        <f t="shared" si="4"/>
        <v>140.91597399999998</v>
      </c>
      <c r="K24" s="67">
        <f t="shared" si="4"/>
        <v>140.91597399999998</v>
      </c>
      <c r="L24" s="67">
        <f>(7352.35/5)*9.7%</f>
        <v>142.63558999999998</v>
      </c>
      <c r="M24" s="67">
        <f>(7263.71/5)*9.7%</f>
        <v>140.91597399999998</v>
      </c>
      <c r="N24" s="67"/>
      <c r="O24" s="4"/>
      <c r="P24" s="70">
        <f t="shared" si="2"/>
        <v>1410.8793559999999</v>
      </c>
    </row>
    <row r="25" spans="2:16" ht="15" customHeight="1" x14ac:dyDescent="0.4">
      <c r="B25" s="68" t="s">
        <v>42</v>
      </c>
      <c r="C25" s="67"/>
      <c r="D25" s="67">
        <f t="shared" ref="D25:M25" si="5">D23*0.02</f>
        <v>26.236520519999999</v>
      </c>
      <c r="E25" s="67">
        <f t="shared" si="5"/>
        <v>26.236520519999999</v>
      </c>
      <c r="F25" s="67">
        <f t="shared" si="5"/>
        <v>26.236520519999999</v>
      </c>
      <c r="G25" s="67">
        <f t="shared" si="5"/>
        <v>26.236520519999999</v>
      </c>
      <c r="H25" s="67">
        <f t="shared" si="5"/>
        <v>26.236520519999999</v>
      </c>
      <c r="I25" s="67">
        <f t="shared" si="5"/>
        <v>26.236520519999999</v>
      </c>
      <c r="J25" s="67">
        <f t="shared" si="5"/>
        <v>26.236520519999999</v>
      </c>
      <c r="K25" s="67">
        <f t="shared" si="5"/>
        <v>26.236520519999999</v>
      </c>
      <c r="L25" s="67">
        <f t="shared" si="5"/>
        <v>26.556688200000004</v>
      </c>
      <c r="M25" s="67">
        <f t="shared" si="5"/>
        <v>26.236520519999999</v>
      </c>
      <c r="N25" s="67"/>
      <c r="O25" s="4"/>
      <c r="P25" s="70">
        <f t="shared" si="2"/>
        <v>262.68537287999999</v>
      </c>
    </row>
    <row r="26" spans="2:16" x14ac:dyDescent="0.4">
      <c r="B26" s="8" t="s">
        <v>8</v>
      </c>
      <c r="C26" s="9">
        <f>1429.17+2934.68</f>
        <v>4363.8500000000004</v>
      </c>
      <c r="D26" s="9">
        <f>1288.25+2953.1</f>
        <v>4241.3500000000004</v>
      </c>
      <c r="E26" s="9">
        <f>1288.25+2947.82</f>
        <v>4236.07</v>
      </c>
      <c r="F26" s="9">
        <f>1288.25+2934.68</f>
        <v>4222.93</v>
      </c>
      <c r="G26" s="9">
        <f>1288.25+2967.37</f>
        <v>4255.62</v>
      </c>
      <c r="H26" s="9">
        <f>1288.25+2967.37</f>
        <v>4255.62</v>
      </c>
      <c r="I26" s="9">
        <f>1288.25+2971</f>
        <v>4259.25</v>
      </c>
      <c r="J26" s="9">
        <f>1288.25+2984.14</f>
        <v>4272.3899999999994</v>
      </c>
      <c r="K26" s="9">
        <f>1288.25+2971</f>
        <v>4259.25</v>
      </c>
      <c r="L26" s="9">
        <f>1305.9+3010.39</f>
        <v>4316.29</v>
      </c>
      <c r="M26" s="9">
        <f>1288.25+2984.14</f>
        <v>4272.3899999999994</v>
      </c>
      <c r="N26" s="9">
        <f>2697.52+7066.83</f>
        <v>9764.35</v>
      </c>
      <c r="O26" s="4"/>
      <c r="P26" s="39">
        <f t="shared" si="2"/>
        <v>56719.360000000001</v>
      </c>
    </row>
    <row r="27" spans="2:16" x14ac:dyDescent="0.4">
      <c r="B27" s="60" t="s">
        <v>39</v>
      </c>
      <c r="C27" s="61"/>
      <c r="D27" s="61"/>
      <c r="E27" s="61"/>
      <c r="F27" s="61">
        <v>1232.5</v>
      </c>
      <c r="G27" s="61"/>
      <c r="H27" s="61"/>
      <c r="I27" s="61"/>
      <c r="J27" s="61"/>
      <c r="K27" s="61"/>
      <c r="L27" s="61"/>
      <c r="M27" s="61"/>
      <c r="N27" s="61"/>
      <c r="O27" s="4"/>
      <c r="P27" s="39">
        <f t="shared" si="2"/>
        <v>1232.5</v>
      </c>
    </row>
    <row r="28" spans="2:16" ht="15" customHeight="1" x14ac:dyDescent="0.4">
      <c r="B28" s="7" t="s">
        <v>3</v>
      </c>
      <c r="C28" s="40">
        <f>SUM(C22:C26)</f>
        <v>12137.53</v>
      </c>
      <c r="D28" s="40">
        <f t="shared" ref="D28:N28" si="6">SUM(D22:D27)</f>
        <v>12182.18852052</v>
      </c>
      <c r="E28" s="40">
        <f t="shared" si="6"/>
        <v>12176.908520519999</v>
      </c>
      <c r="F28" s="40">
        <f t="shared" si="6"/>
        <v>13396.26852052</v>
      </c>
      <c r="G28" s="40">
        <f t="shared" si="6"/>
        <v>12196.458520519998</v>
      </c>
      <c r="H28" s="40">
        <f t="shared" si="6"/>
        <v>12196.458520519998</v>
      </c>
      <c r="I28" s="40">
        <f t="shared" si="6"/>
        <v>12200.088520519999</v>
      </c>
      <c r="J28" s="40">
        <f t="shared" si="6"/>
        <v>12213.228520519999</v>
      </c>
      <c r="K28" s="40">
        <f t="shared" si="6"/>
        <v>12200.088520519999</v>
      </c>
      <c r="L28" s="40">
        <f t="shared" si="6"/>
        <v>12346.166688200001</v>
      </c>
      <c r="M28" s="40">
        <f t="shared" si="6"/>
        <v>12213.228520519999</v>
      </c>
      <c r="N28" s="40">
        <f t="shared" si="6"/>
        <v>25939.48</v>
      </c>
      <c r="O28" s="4"/>
      <c r="P28" s="41">
        <f t="shared" si="2"/>
        <v>161398.09337288002</v>
      </c>
    </row>
    <row r="29" spans="2:16" x14ac:dyDescent="0.4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">
      <c r="B30" s="43" t="s">
        <v>25</v>
      </c>
      <c r="C30" s="44">
        <f t="shared" ref="C30:N30" si="7">C19-C28</f>
        <v>-2552.5300000000007</v>
      </c>
      <c r="D30" s="44">
        <f t="shared" si="7"/>
        <v>1613.8114794800003</v>
      </c>
      <c r="E30" s="44">
        <f t="shared" si="7"/>
        <v>1272.091479480001</v>
      </c>
      <c r="F30" s="44">
        <f t="shared" si="7"/>
        <v>882.73147948000042</v>
      </c>
      <c r="G30" s="44">
        <f t="shared" si="7"/>
        <v>-35.458520519998274</v>
      </c>
      <c r="H30" s="44">
        <f t="shared" si="7"/>
        <v>1838.5414794800017</v>
      </c>
      <c r="I30" s="44">
        <f t="shared" si="7"/>
        <v>896.91147948000071</v>
      </c>
      <c r="J30" s="44">
        <f t="shared" si="7"/>
        <v>2515.7714794800013</v>
      </c>
      <c r="K30" s="44">
        <f t="shared" si="7"/>
        <v>2684.9114794800007</v>
      </c>
      <c r="L30" s="44">
        <f t="shared" si="7"/>
        <v>-829.16668820000086</v>
      </c>
      <c r="M30" s="44">
        <f t="shared" si="7"/>
        <v>-16.22852051999871</v>
      </c>
      <c r="N30" s="44">
        <f t="shared" si="7"/>
        <v>-18286.48</v>
      </c>
      <c r="P30" s="54">
        <f>SUM(C30:N30)</f>
        <v>-10015.093372879992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6" sqref="B6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73" t="s">
        <v>22</v>
      </c>
      <c r="C2" s="74"/>
    </row>
    <row r="3" spans="2:3" ht="30" customHeight="1" x14ac:dyDescent="0.4">
      <c r="B3" s="29" t="s">
        <v>11</v>
      </c>
      <c r="C3" s="30">
        <v>0.08</v>
      </c>
    </row>
    <row r="4" spans="2:3" ht="30" customHeight="1" x14ac:dyDescent="0.4">
      <c r="B4" s="29" t="s">
        <v>12</v>
      </c>
      <c r="C4" s="29">
        <v>75</v>
      </c>
    </row>
    <row r="5" spans="2:3" ht="30" customHeight="1" x14ac:dyDescent="0.4">
      <c r="B5" s="29" t="s">
        <v>38</v>
      </c>
      <c r="C5" s="29">
        <v>700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B19" sqref="B19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75" t="s">
        <v>23</v>
      </c>
      <c r="C2" s="75"/>
    </row>
    <row r="3" spans="2:3" ht="16.95" customHeight="1" x14ac:dyDescent="0.4">
      <c r="B3" s="34" t="s">
        <v>24</v>
      </c>
      <c r="C3" s="35">
        <f>'2023'!P27+'2024'!P30</f>
        <v>0.956627120011035</v>
      </c>
    </row>
    <row r="4" spans="2:3" ht="16.95" customHeight="1" x14ac:dyDescent="0.4">
      <c r="B4" s="34" t="s">
        <v>26</v>
      </c>
      <c r="C4" s="36">
        <f>SUM('2023'!P12)+('2024'!P12)</f>
        <v>38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67</vt:i4>
      </vt:variant>
    </vt:vector>
  </HeadingPairs>
  <TitlesOfParts>
    <vt:vector size="71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SORTIES_FRAIS_PEE_AMUNSI</vt:lpstr>
      <vt:lpstr>SORTIES_INTERESSEMENT_CSG_CRDS</vt:lpstr>
      <vt:lpstr>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2024-12-31T10:44:01Z</dcterms:modified>
</cp:coreProperties>
</file>