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1\STC\Mahdi AJJEL\"/>
    </mc:Choice>
  </mc:AlternateContent>
  <bookViews>
    <workbookView xWindow="0" yWindow="0" windowWidth="21231" windowHeight="4646" activeTab="3"/>
  </bookViews>
  <sheets>
    <sheet name="2023" sheetId="15" r:id="rId1"/>
    <sheet name="2024" sheetId="16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'2023'!$B$26</definedName>
    <definedName name="SOLDE" localSheetId="1">'2024'!$B$26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'2023'!$B$24</definedName>
    <definedName name="TOTAL_SORTIES" localSheetId="1">'2024'!$B$24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3" i="16" l="1"/>
  <c r="M17" i="16" l="1"/>
  <c r="N24" i="16" l="1"/>
  <c r="M24" i="16"/>
  <c r="H24" i="16"/>
  <c r="G24" i="16"/>
  <c r="E24" i="16"/>
  <c r="L23" i="16"/>
  <c r="L24" i="16" s="1"/>
  <c r="K23" i="16"/>
  <c r="K24" i="16" s="1"/>
  <c r="J23" i="16"/>
  <c r="J24" i="16" s="1"/>
  <c r="I23" i="16"/>
  <c r="I24" i="16" s="1"/>
  <c r="H23" i="16"/>
  <c r="G23" i="16"/>
  <c r="F23" i="16"/>
  <c r="F24" i="16" s="1"/>
  <c r="E23" i="16"/>
  <c r="D23" i="16"/>
  <c r="D24" i="16" s="1"/>
  <c r="C23" i="16"/>
  <c r="C24" i="16" s="1"/>
  <c r="P22" i="16"/>
  <c r="N19" i="16"/>
  <c r="N26" i="16" s="1"/>
  <c r="M19" i="16"/>
  <c r="I19" i="16"/>
  <c r="I26" i="16" s="1"/>
  <c r="H19" i="16"/>
  <c r="H26" i="16" s="1"/>
  <c r="P18" i="16"/>
  <c r="L17" i="16"/>
  <c r="L19" i="16" s="1"/>
  <c r="L26" i="16" s="1"/>
  <c r="K17" i="16"/>
  <c r="K19" i="16" s="1"/>
  <c r="K26" i="16" s="1"/>
  <c r="J17" i="16"/>
  <c r="J19" i="16" s="1"/>
  <c r="J26" i="16" s="1"/>
  <c r="I17" i="16"/>
  <c r="H17" i="16"/>
  <c r="G17" i="16"/>
  <c r="G19" i="16" s="1"/>
  <c r="G26" i="16" s="1"/>
  <c r="F17" i="16"/>
  <c r="F19" i="16" s="1"/>
  <c r="F26" i="16" s="1"/>
  <c r="E17" i="16"/>
  <c r="E19" i="16" s="1"/>
  <c r="E26" i="16" s="1"/>
  <c r="D17" i="16"/>
  <c r="D19" i="16" s="1"/>
  <c r="D26" i="16" s="1"/>
  <c r="C17" i="16"/>
  <c r="C19" i="16" s="1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I24" i="15"/>
  <c r="N23" i="15"/>
  <c r="N24" i="15" s="1"/>
  <c r="M23" i="15"/>
  <c r="M24" i="15" s="1"/>
  <c r="L23" i="15"/>
  <c r="L24" i="15" s="1"/>
  <c r="K23" i="15"/>
  <c r="K24" i="15" s="1"/>
  <c r="J23" i="15"/>
  <c r="J24" i="15" s="1"/>
  <c r="I23" i="15"/>
  <c r="H23" i="15"/>
  <c r="H24" i="15" s="1"/>
  <c r="G23" i="15"/>
  <c r="G24" i="15" s="1"/>
  <c r="F23" i="15"/>
  <c r="F24" i="15" s="1"/>
  <c r="E23" i="15"/>
  <c r="E24" i="15" s="1"/>
  <c r="D23" i="15"/>
  <c r="D24" i="15" s="1"/>
  <c r="C23" i="15"/>
  <c r="C24" i="15" s="1"/>
  <c r="P22" i="15"/>
  <c r="L19" i="15"/>
  <c r="L26" i="15" s="1"/>
  <c r="D19" i="15"/>
  <c r="P18" i="15"/>
  <c r="N17" i="15"/>
  <c r="N19" i="15" s="1"/>
  <c r="N26" i="15" s="1"/>
  <c r="M17" i="15"/>
  <c r="M19" i="15" s="1"/>
  <c r="M26" i="15" s="1"/>
  <c r="L17" i="15"/>
  <c r="K17" i="15"/>
  <c r="K19" i="15" s="1"/>
  <c r="K26" i="15" s="1"/>
  <c r="J17" i="15"/>
  <c r="J19" i="15" s="1"/>
  <c r="J26" i="15" s="1"/>
  <c r="I17" i="15"/>
  <c r="I19" i="15" s="1"/>
  <c r="I26" i="15" s="1"/>
  <c r="H17" i="15"/>
  <c r="H19" i="15" s="1"/>
  <c r="H26" i="15" s="1"/>
  <c r="G17" i="15"/>
  <c r="G19" i="15" s="1"/>
  <c r="G26" i="15" s="1"/>
  <c r="F17" i="15"/>
  <c r="F19" i="15" s="1"/>
  <c r="F26" i="15" s="1"/>
  <c r="E17" i="15"/>
  <c r="E19" i="15" s="1"/>
  <c r="E26" i="15" s="1"/>
  <c r="D17" i="15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8" i="16" l="1"/>
  <c r="M26" i="16"/>
  <c r="P19" i="16"/>
  <c r="C26" i="16"/>
  <c r="P24" i="16"/>
  <c r="C26" i="15"/>
  <c r="P19" i="15"/>
  <c r="P24" i="15"/>
  <c r="D26" i="15"/>
  <c r="P23" i="15"/>
  <c r="P17" i="16"/>
  <c r="P23" i="16"/>
  <c r="P17" i="15"/>
  <c r="P26" i="16" l="1"/>
  <c r="P26" i="15"/>
  <c r="C3" i="13" l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<sst xmlns="http://schemas.openxmlformats.org/spreadsheetml/2006/main" count="74" uniqueCount="40">
  <si>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</si>
  <si>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</si>
  <si>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</si>
  <si>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</si>
  <si>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</si>
  <si>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</si>
  <si>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</si>
  <si>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</si>
  <si>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</si>
  <si>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</si>
  <si>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</si>
  <si>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</si>
  <si>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</si>
  <si>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</si>
  <si>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</si>
  <si>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</si>
  <si>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</si>
  <si>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</si>
  <si>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</si>
  <si>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</si>
  <si>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</si>
  <si>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</si>
  <si>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</si>
  <si>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</si>
  <si>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</si>
  <si>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</si>
  <si>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</si>
  <si>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</si>
  <si>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</si>
  <si>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</si>
  <si>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</si>
  <si>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</si>
  <si>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</si>
  <si>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</si>
  <si>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</si>
  <si>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</si>
  <si>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</si>
  <si>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</si>
  <si>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</si>
  <si>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TJM (Janvier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</si>
</sst>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164" fontId="4" fillId="0" borderId="4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F1" workbookViewId="0">
      <selection activeCell="P27" sqref="P27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2" t="s">
        <v>9</v>
      </c>
    </row>
    <row r="2" spans="2:16" x14ac:dyDescent="0.4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">
      <c r="B7" s="8" t="s">
        <v>20</v>
      </c>
      <c r="C7" s="33">
        <v>21</v>
      </c>
      <c r="D7" s="33">
        <v>20</v>
      </c>
      <c r="E7" s="33">
        <v>20</v>
      </c>
      <c r="F7" s="60">
        <v>18.5</v>
      </c>
      <c r="G7" s="33">
        <v>17</v>
      </c>
      <c r="H7" s="33">
        <v>19</v>
      </c>
      <c r="I7" s="33">
        <v>17</v>
      </c>
      <c r="J7" s="33">
        <v>21</v>
      </c>
      <c r="K7" s="33">
        <v>21</v>
      </c>
      <c r="L7" s="33">
        <v>21</v>
      </c>
      <c r="M7" s="33">
        <v>18</v>
      </c>
      <c r="N7" s="33">
        <v>20</v>
      </c>
      <c r="O7" s="31"/>
      <c r="P7" s="52">
        <f>SUM(C7:N7)</f>
        <v>233.5</v>
      </c>
    </row>
    <row r="8" spans="2:16" x14ac:dyDescent="0.4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1</v>
      </c>
      <c r="F8" s="32">
        <f t="shared" si="0"/>
        <v>-0.5</v>
      </c>
      <c r="G8" s="32">
        <f t="shared" si="0"/>
        <v>-2</v>
      </c>
      <c r="H8" s="32">
        <f t="shared" si="0"/>
        <v>0</v>
      </c>
      <c r="I8" s="32">
        <f t="shared" si="0"/>
        <v>-2</v>
      </c>
      <c r="J8" s="32">
        <f t="shared" si="0"/>
        <v>2</v>
      </c>
      <c r="K8" s="32">
        <f t="shared" si="0"/>
        <v>2</v>
      </c>
      <c r="L8" s="32">
        <f t="shared" si="0"/>
        <v>2</v>
      </c>
      <c r="M8" s="32">
        <f t="shared" si="0"/>
        <v>-1</v>
      </c>
      <c r="N8" s="32">
        <f t="shared" si="0"/>
        <v>1</v>
      </c>
      <c r="O8" s="31"/>
      <c r="P8" s="52">
        <f>SUM(C8:N8)</f>
        <v>5.5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21</v>
      </c>
      <c r="D11" s="10">
        <v>20</v>
      </c>
      <c r="E11" s="10">
        <v>20</v>
      </c>
      <c r="F11" s="10">
        <v>18.5</v>
      </c>
      <c r="G11" s="10">
        <v>17</v>
      </c>
      <c r="H11" s="10">
        <v>19</v>
      </c>
      <c r="I11" s="10">
        <v>17</v>
      </c>
      <c r="J11" s="10">
        <v>21</v>
      </c>
      <c r="K11" s="10">
        <v>21</v>
      </c>
      <c r="L11" s="10">
        <v>21</v>
      </c>
      <c r="M11" s="10">
        <v>18.5</v>
      </c>
      <c r="N11" s="10">
        <v>20</v>
      </c>
      <c r="P11" s="53">
        <f>SUM(C11:N11)</f>
        <v>234</v>
      </c>
    </row>
    <row r="12" spans="2:16" x14ac:dyDescent="0.4">
      <c r="B12" s="8" t="s">
        <v>15</v>
      </c>
      <c r="C12" s="11">
        <v>1</v>
      </c>
      <c r="D12" s="11"/>
      <c r="E12" s="11">
        <v>3</v>
      </c>
      <c r="F12" s="11">
        <v>0.5</v>
      </c>
      <c r="G12" s="11">
        <v>2</v>
      </c>
      <c r="H12" s="11">
        <v>3</v>
      </c>
      <c r="I12" s="11">
        <v>3</v>
      </c>
      <c r="J12" s="11">
        <v>1</v>
      </c>
      <c r="K12" s="11"/>
      <c r="L12" s="11">
        <v>1</v>
      </c>
      <c r="M12" s="11">
        <v>2.5</v>
      </c>
      <c r="N12" s="11"/>
      <c r="P12" s="53">
        <f>SUM(C12:N12)</f>
        <v>17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C11*Params!$C$5*(1-Params!$C$3)-Params!$C$4</f>
        <v>9585</v>
      </c>
      <c r="D17" s="9">
        <f>D11*Params!$C$5*(1-Params!$C$3)-Params!$C$4</f>
        <v>9125</v>
      </c>
      <c r="E17" s="9">
        <f>E11*Params!$C$5*(1-Params!$C$3)-Params!$C$4</f>
        <v>9125</v>
      </c>
      <c r="F17" s="9">
        <f>F11*Params!$C$5*(1-Params!$C$3)-Params!$C$4</f>
        <v>8435</v>
      </c>
      <c r="G17" s="9">
        <f>G11*Params!$C$5*(1-Params!$C$3)-Params!$C$4</f>
        <v>7745</v>
      </c>
      <c r="H17" s="9">
        <f>H11*Params!$C$5*(1-Params!$C$3)-Params!$C$4</f>
        <v>8665</v>
      </c>
      <c r="I17" s="9">
        <f>I11*Params!$C$5*(1-Params!$C$3)-Params!$C$4</f>
        <v>7745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9585</v>
      </c>
      <c r="M17" s="9">
        <f>M11*Params!$C$5*(1-Params!$C$3)-Params!$C$4</f>
        <v>8435</v>
      </c>
      <c r="N17" s="9">
        <f>N11*Params!$C$5*(1-Params!$C$3)-Params!$C$4</f>
        <v>9125</v>
      </c>
      <c r="O17" s="4"/>
      <c r="P17" s="37">
        <f>SUM(C17:N17)</f>
        <v>106740</v>
      </c>
    </row>
    <row r="18" spans="2:16" x14ac:dyDescent="0.4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">
      <c r="B19" s="24" t="s">
        <v>2</v>
      </c>
      <c r="C19" s="25">
        <f t="shared" ref="C19:N19" si="1">SUM(C17:C18)</f>
        <v>9585</v>
      </c>
      <c r="D19" s="25">
        <f t="shared" si="1"/>
        <v>9125</v>
      </c>
      <c r="E19" s="25">
        <f t="shared" si="1"/>
        <v>9125</v>
      </c>
      <c r="F19" s="25">
        <f t="shared" si="1"/>
        <v>8435</v>
      </c>
      <c r="G19" s="25">
        <f t="shared" si="1"/>
        <v>7745</v>
      </c>
      <c r="H19" s="25">
        <f t="shared" si="1"/>
        <v>8665</v>
      </c>
      <c r="I19" s="25">
        <f t="shared" si="1"/>
        <v>7745</v>
      </c>
      <c r="J19" s="25">
        <f t="shared" si="1"/>
        <v>9585</v>
      </c>
      <c r="K19" s="25">
        <f t="shared" si="1"/>
        <v>9585</v>
      </c>
      <c r="L19" s="25">
        <f t="shared" si="1"/>
        <v>9585</v>
      </c>
      <c r="M19" s="25">
        <f t="shared" si="1"/>
        <v>8435</v>
      </c>
      <c r="N19" s="25">
        <f t="shared" si="1"/>
        <v>9125</v>
      </c>
      <c r="O19" s="5"/>
      <c r="P19" s="38">
        <f>SUM(C19:N19)</f>
        <v>106740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5603.31</v>
      </c>
      <c r="D22" s="9">
        <v>5603.31</v>
      </c>
      <c r="E22" s="9">
        <v>5603.31</v>
      </c>
      <c r="F22" s="9">
        <v>5603.31</v>
      </c>
      <c r="G22" s="9">
        <v>5603.31</v>
      </c>
      <c r="H22" s="9">
        <v>5603.31</v>
      </c>
      <c r="I22" s="9">
        <v>5603.31</v>
      </c>
      <c r="J22" s="9">
        <v>5603.31</v>
      </c>
      <c r="K22" s="9">
        <v>5603.31</v>
      </c>
      <c r="L22" s="9">
        <v>5603.31</v>
      </c>
      <c r="M22" s="9">
        <v>5603.31</v>
      </c>
      <c r="N22" s="9">
        <v>5603.31</v>
      </c>
      <c r="O22" s="4"/>
      <c r="P22" s="39">
        <f>SUM(C22:N22)</f>
        <v>67239.719999999987</v>
      </c>
    </row>
    <row r="23" spans="2:16" x14ac:dyDescent="0.4">
      <c r="B23" s="8" t="s">
        <v>8</v>
      </c>
      <c r="C23" s="9">
        <f>1079.41+1826.53</f>
        <v>2905.94</v>
      </c>
      <c r="D23" s="9">
        <f>1079.41+1829.17</f>
        <v>2908.58</v>
      </c>
      <c r="E23" s="9">
        <f>1079.41+1826.53</f>
        <v>2905.94</v>
      </c>
      <c r="F23" s="9">
        <f>1079.41+1834.42</f>
        <v>2913.83</v>
      </c>
      <c r="G23" s="9">
        <f>1079.41+1830.47</f>
        <v>2909.88</v>
      </c>
      <c r="H23" s="9">
        <f>1079.41+1833.09</f>
        <v>2912.5</v>
      </c>
      <c r="I23" s="9">
        <f>1079.41+1835.73</f>
        <v>2915.1400000000003</v>
      </c>
      <c r="J23" s="9">
        <f>1079.41+1835.73</f>
        <v>2915.1400000000003</v>
      </c>
      <c r="K23" s="9">
        <f>1079.41+1830.48</f>
        <v>2909.8900000000003</v>
      </c>
      <c r="L23" s="9">
        <f>1079.41+1827.84</f>
        <v>2907.25</v>
      </c>
      <c r="M23" s="9">
        <f>1079.41+1830.48</f>
        <v>2909.8900000000003</v>
      </c>
      <c r="N23" s="9">
        <f>1079.41+1834.41</f>
        <v>2913.82</v>
      </c>
      <c r="O23" s="4"/>
      <c r="P23" s="39">
        <f>SUM(C23:N23)</f>
        <v>34927.800000000003</v>
      </c>
    </row>
    <row r="24" spans="2:16" x14ac:dyDescent="0.4">
      <c r="B24" s="7" t="s">
        <v>3</v>
      </c>
      <c r="C24" s="40">
        <f t="shared" ref="C24:N24" si="2">SUM(C22:C23)</f>
        <v>8509.25</v>
      </c>
      <c r="D24" s="40">
        <f t="shared" si="2"/>
        <v>8511.89</v>
      </c>
      <c r="E24" s="40">
        <f t="shared" si="2"/>
        <v>8509.25</v>
      </c>
      <c r="F24" s="40">
        <f t="shared" si="2"/>
        <v>8517.14</v>
      </c>
      <c r="G24" s="40">
        <f t="shared" si="2"/>
        <v>8513.19</v>
      </c>
      <c r="H24" s="40">
        <f t="shared" si="2"/>
        <v>8515.8100000000013</v>
      </c>
      <c r="I24" s="40">
        <f t="shared" si="2"/>
        <v>8518.4500000000007</v>
      </c>
      <c r="J24" s="40">
        <f t="shared" si="2"/>
        <v>8518.4500000000007</v>
      </c>
      <c r="K24" s="40">
        <f t="shared" si="2"/>
        <v>8513.2000000000007</v>
      </c>
      <c r="L24" s="40">
        <f t="shared" si="2"/>
        <v>8510.5600000000013</v>
      </c>
      <c r="M24" s="40">
        <f t="shared" si="2"/>
        <v>8513.2000000000007</v>
      </c>
      <c r="N24" s="40">
        <f t="shared" si="2"/>
        <v>8517.130000000001</v>
      </c>
      <c r="O24" s="4"/>
      <c r="P24" s="41">
        <f>SUM(C24:N24)</f>
        <v>102167.51999999999</v>
      </c>
    </row>
    <row r="25" spans="2:16" x14ac:dyDescent="0.4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">
      <c r="B26" s="43" t="s">
        <v>25</v>
      </c>
      <c r="C26" s="44">
        <f t="shared" ref="C26:N26" si="3">C19-C24</f>
        <v>1075.75</v>
      </c>
      <c r="D26" s="44">
        <f t="shared" si="3"/>
        <v>613.11000000000058</v>
      </c>
      <c r="E26" s="44">
        <f t="shared" si="3"/>
        <v>615.75</v>
      </c>
      <c r="F26" s="44">
        <f t="shared" si="3"/>
        <v>-82.139999999999418</v>
      </c>
      <c r="G26" s="44">
        <f t="shared" si="3"/>
        <v>-768.19000000000051</v>
      </c>
      <c r="H26" s="44">
        <f t="shared" si="3"/>
        <v>149.18999999999869</v>
      </c>
      <c r="I26" s="44">
        <f t="shared" si="3"/>
        <v>-773.45000000000073</v>
      </c>
      <c r="J26" s="44">
        <f t="shared" si="3"/>
        <v>1066.5499999999993</v>
      </c>
      <c r="K26" s="44">
        <f t="shared" si="3"/>
        <v>1071.7999999999993</v>
      </c>
      <c r="L26" s="44">
        <f t="shared" si="3"/>
        <v>1074.4399999999987</v>
      </c>
      <c r="M26" s="44">
        <f t="shared" si="3"/>
        <v>-78.200000000000728</v>
      </c>
      <c r="N26" s="44">
        <f t="shared" si="3"/>
        <v>607.86999999999898</v>
      </c>
      <c r="P26" s="54">
        <f>SUM(C26:N26)</f>
        <v>4572.4799999999941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topLeftCell="A12" workbookViewId="0">
      <selection activeCell="M24" sqref="M24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">
      <c r="B1" s="62" t="s">
        <v>9</v>
      </c>
    </row>
    <row r="2" spans="2:16" x14ac:dyDescent="0.4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2</v>
      </c>
      <c r="N6" s="33"/>
      <c r="O6" s="31"/>
      <c r="P6" s="52">
        <f>SUM(C6:N6)</f>
        <v>192</v>
      </c>
    </row>
    <row r="7" spans="2:16" x14ac:dyDescent="0.4">
      <c r="B7" s="8" t="s">
        <v>20</v>
      </c>
      <c r="C7" s="33">
        <v>22</v>
      </c>
      <c r="D7" s="33">
        <v>21</v>
      </c>
      <c r="E7" s="33">
        <v>17</v>
      </c>
      <c r="F7" s="60">
        <v>20</v>
      </c>
      <c r="G7" s="33">
        <v>19</v>
      </c>
      <c r="H7" s="33">
        <v>10</v>
      </c>
      <c r="I7" s="33">
        <v>22</v>
      </c>
      <c r="J7" s="33">
        <v>10</v>
      </c>
      <c r="K7" s="33">
        <v>18</v>
      </c>
      <c r="L7" s="33">
        <v>23</v>
      </c>
      <c r="M7" s="33">
        <v>8</v>
      </c>
      <c r="N7" s="33"/>
      <c r="O7" s="31"/>
      <c r="P7" s="52">
        <f>SUM(C7:N7)</f>
        <v>190</v>
      </c>
    </row>
    <row r="8" spans="2:16" x14ac:dyDescent="0.4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-2</v>
      </c>
      <c r="F8" s="32">
        <f t="shared" si="0"/>
        <v>1</v>
      </c>
      <c r="G8" s="32">
        <f t="shared" si="0"/>
        <v>0</v>
      </c>
      <c r="H8" s="32">
        <f t="shared" si="0"/>
        <v>-9</v>
      </c>
      <c r="I8" s="32">
        <f t="shared" si="0"/>
        <v>3</v>
      </c>
      <c r="J8" s="32">
        <f t="shared" si="0"/>
        <v>-9</v>
      </c>
      <c r="K8" s="32">
        <f t="shared" si="0"/>
        <v>-1</v>
      </c>
      <c r="L8" s="32">
        <f t="shared" si="0"/>
        <v>4</v>
      </c>
      <c r="M8" s="32">
        <f t="shared" si="0"/>
        <v>6</v>
      </c>
      <c r="N8" s="32">
        <f t="shared" si="0"/>
        <v>0</v>
      </c>
      <c r="O8" s="31"/>
      <c r="P8" s="52">
        <f>SUM(C8:N8)</f>
        <v>-2</v>
      </c>
    </row>
    <row r="9" spans="2:16" x14ac:dyDescent="0.4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">
      <c r="B11" s="8" t="s">
        <v>13</v>
      </c>
      <c r="C11" s="10">
        <v>22</v>
      </c>
      <c r="D11" s="10">
        <v>21</v>
      </c>
      <c r="E11" s="10">
        <v>17</v>
      </c>
      <c r="F11" s="10">
        <v>20</v>
      </c>
      <c r="G11" s="10">
        <v>19</v>
      </c>
      <c r="H11" s="10">
        <v>10.5</v>
      </c>
      <c r="I11" s="10">
        <v>21.5</v>
      </c>
      <c r="J11" s="10">
        <v>10</v>
      </c>
      <c r="K11" s="10">
        <v>18</v>
      </c>
      <c r="L11" s="10">
        <v>23</v>
      </c>
      <c r="M11" s="10">
        <v>9</v>
      </c>
      <c r="N11" s="10"/>
      <c r="P11" s="53">
        <f>SUM(C11:N11)</f>
        <v>191</v>
      </c>
    </row>
    <row r="12" spans="2:16" x14ac:dyDescent="0.4">
      <c r="B12" s="8" t="s">
        <v>15</v>
      </c>
      <c r="C12" s="11"/>
      <c r="D12" s="11"/>
      <c r="E12" s="11">
        <v>4</v>
      </c>
      <c r="F12" s="11">
        <v>1</v>
      </c>
      <c r="G12" s="11"/>
      <c r="H12" s="11">
        <v>9.5</v>
      </c>
      <c r="I12" s="11">
        <v>1.5</v>
      </c>
      <c r="J12" s="11">
        <v>11</v>
      </c>
      <c r="K12" s="11">
        <v>3</v>
      </c>
      <c r="L12" s="11"/>
      <c r="M12" s="11"/>
      <c r="N12" s="11"/>
      <c r="P12" s="53">
        <f>SUM(C12:N12)</f>
        <v>30</v>
      </c>
    </row>
    <row r="13" spans="2:16" x14ac:dyDescent="0.4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">
      <c r="B17" s="8" t="s">
        <v>6</v>
      </c>
      <c r="C17" s="9">
        <f>C11*Params!$C$6*(1-Params!$C$3)-Params!$C$4</f>
        <v>10247.4</v>
      </c>
      <c r="D17" s="9">
        <f>D11*Params!$C$6*(1-Params!$C$3)-Params!$C$4</f>
        <v>9778.2000000000007</v>
      </c>
      <c r="E17" s="9">
        <f>E11*Params!$C$6*(1-Params!$C$3)-Params!$C$4</f>
        <v>7901.4000000000005</v>
      </c>
      <c r="F17" s="9">
        <f>F11*Params!$C$6*(1-Params!$C$3)-Params!$C$4</f>
        <v>9309</v>
      </c>
      <c r="G17" s="9">
        <f>G11*Params!$C$6*(1-Params!$C$3)-Params!$C$4</f>
        <v>8839.8000000000011</v>
      </c>
      <c r="H17" s="9">
        <f>H11*Params!$C$6*(1-Params!$C$3)-Params!$C$4</f>
        <v>4851.6000000000004</v>
      </c>
      <c r="I17" s="9">
        <f>I11*Params!$C$6*(1-Params!$C$3)-Params!$C$4</f>
        <v>10012.800000000001</v>
      </c>
      <c r="J17" s="9">
        <f>J11*Params!$C$6*(1-Params!$C$3)-Params!$C$4</f>
        <v>4617</v>
      </c>
      <c r="K17" s="9">
        <f>K11*Params!$C$6*(1-Params!$C$3)-Params!$C$4</f>
        <v>8370.6</v>
      </c>
      <c r="L17" s="9">
        <f>L11*Params!$C$6*(1-Params!$C$3)-Params!$C$4</f>
        <v>10716.6</v>
      </c>
      <c r="M17" s="9">
        <f>M11*Params!$C$6*(1-Params!$C$3)-Params!$C$4</f>
        <v>4147.8</v>
      </c>
      <c r="N17" s="9"/>
      <c r="O17" s="4"/>
      <c r="P17" s="37">
        <f>SUM(C17:N17)</f>
        <v>88792.200000000026</v>
      </c>
    </row>
    <row r="18" spans="2:16" x14ac:dyDescent="0.4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">
      <c r="B19" s="24" t="s">
        <v>2</v>
      </c>
      <c r="C19" s="25">
        <f t="shared" ref="C19:N19" si="1">SUM(C17:C18)</f>
        <v>10247.4</v>
      </c>
      <c r="D19" s="25">
        <f t="shared" si="1"/>
        <v>9778.2000000000007</v>
      </c>
      <c r="E19" s="25">
        <f t="shared" si="1"/>
        <v>7901.4000000000005</v>
      </c>
      <c r="F19" s="25">
        <f t="shared" si="1"/>
        <v>9309</v>
      </c>
      <c r="G19" s="25">
        <f t="shared" si="1"/>
        <v>8839.8000000000011</v>
      </c>
      <c r="H19" s="25">
        <f t="shared" si="1"/>
        <v>4851.6000000000004</v>
      </c>
      <c r="I19" s="25">
        <f t="shared" si="1"/>
        <v>10012.800000000001</v>
      </c>
      <c r="J19" s="25">
        <f t="shared" si="1"/>
        <v>4617</v>
      </c>
      <c r="K19" s="25">
        <f t="shared" si="1"/>
        <v>8370.6</v>
      </c>
      <c r="L19" s="25">
        <f t="shared" si="1"/>
        <v>10716.6</v>
      </c>
      <c r="M19" s="25">
        <f t="shared" si="1"/>
        <v>4147.8</v>
      </c>
      <c r="N19" s="25">
        <f t="shared" si="1"/>
        <v>0</v>
      </c>
      <c r="O19" s="5"/>
      <c r="P19" s="38">
        <f>SUM(C19:N19)</f>
        <v>88792.200000000026</v>
      </c>
    </row>
    <row r="20" spans="2:16" x14ac:dyDescent="0.4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">
      <c r="B22" s="8" t="s">
        <v>7</v>
      </c>
      <c r="C22" s="9">
        <v>5596.72</v>
      </c>
      <c r="D22" s="9">
        <v>5596.72</v>
      </c>
      <c r="E22" s="9">
        <v>5596.72</v>
      </c>
      <c r="F22" s="9">
        <v>5596.72</v>
      </c>
      <c r="G22" s="9">
        <v>5596.72</v>
      </c>
      <c r="H22" s="9">
        <v>5596.72</v>
      </c>
      <c r="I22" s="9">
        <v>5596.72</v>
      </c>
      <c r="J22" s="9">
        <v>5596.72</v>
      </c>
      <c r="K22" s="9">
        <v>5826.27</v>
      </c>
      <c r="L22" s="9">
        <v>5596.72</v>
      </c>
      <c r="M22" s="9">
        <v>5645.34</v>
      </c>
      <c r="N22" s="9"/>
      <c r="O22" s="4"/>
      <c r="P22" s="39">
        <f>SUM(C22:N22)</f>
        <v>61842.09</v>
      </c>
    </row>
    <row r="23" spans="2:16" x14ac:dyDescent="0.4">
      <c r="B23" s="8" t="s">
        <v>8</v>
      </c>
      <c r="C23" s="9">
        <f>1092.85+1844.46</f>
        <v>2937.31</v>
      </c>
      <c r="D23" s="9">
        <f>1092.85+1844.46</f>
        <v>2937.31</v>
      </c>
      <c r="E23" s="9">
        <f>1092.85+1844.46</f>
        <v>2937.31</v>
      </c>
      <c r="F23" s="9">
        <f>1092.85+1854.99</f>
        <v>2947.84</v>
      </c>
      <c r="G23" s="9">
        <f>1092.85+1870.74</f>
        <v>2963.59</v>
      </c>
      <c r="H23" s="9">
        <f>1092.85+1868.1</f>
        <v>2960.95</v>
      </c>
      <c r="I23" s="9">
        <f>1092.85+1893.07</f>
        <v>2985.92</v>
      </c>
      <c r="J23" s="9">
        <f>1092.85+1874.68</f>
        <v>2967.5299999999997</v>
      </c>
      <c r="K23" s="9">
        <f>1144.59+1982.7</f>
        <v>3127.29</v>
      </c>
      <c r="L23" s="9">
        <f>1092.85+1878.61</f>
        <v>2971.46</v>
      </c>
      <c r="M23" s="9">
        <f>676.26+1115.34</f>
        <v>1791.6</v>
      </c>
      <c r="N23" s="9"/>
      <c r="O23" s="4"/>
      <c r="P23" s="39">
        <f>SUM(C23:N23)</f>
        <v>31528.11</v>
      </c>
    </row>
    <row r="24" spans="2:16" x14ac:dyDescent="0.4">
      <c r="B24" s="7" t="s">
        <v>3</v>
      </c>
      <c r="C24" s="40">
        <f t="shared" ref="C24:N24" si="2">SUM(C22:C23)</f>
        <v>8534.0300000000007</v>
      </c>
      <c r="D24" s="40">
        <f t="shared" si="2"/>
        <v>8534.0300000000007</v>
      </c>
      <c r="E24" s="40">
        <f t="shared" si="2"/>
        <v>8534.0300000000007</v>
      </c>
      <c r="F24" s="40">
        <f t="shared" si="2"/>
        <v>8544.5600000000013</v>
      </c>
      <c r="G24" s="40">
        <f t="shared" si="2"/>
        <v>8560.3100000000013</v>
      </c>
      <c r="H24" s="40">
        <f t="shared" si="2"/>
        <v>8557.67</v>
      </c>
      <c r="I24" s="40">
        <f t="shared" si="2"/>
        <v>8582.64</v>
      </c>
      <c r="J24" s="40">
        <f t="shared" si="2"/>
        <v>8564.25</v>
      </c>
      <c r="K24" s="40">
        <f t="shared" si="2"/>
        <v>8953.5600000000013</v>
      </c>
      <c r="L24" s="40">
        <f t="shared" si="2"/>
        <v>8568.18</v>
      </c>
      <c r="M24" s="40">
        <f t="shared" si="2"/>
        <v>7436.9400000000005</v>
      </c>
      <c r="N24" s="40">
        <f t="shared" si="2"/>
        <v>0</v>
      </c>
      <c r="O24" s="4"/>
      <c r="P24" s="41">
        <f>SUM(C24:N24)</f>
        <v>93370.200000000012</v>
      </c>
    </row>
    <row r="25" spans="2:16" x14ac:dyDescent="0.4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">
      <c r="B26" s="43" t="s">
        <v>25</v>
      </c>
      <c r="C26" s="44">
        <f t="shared" ref="C26:N26" si="3">C19-C24</f>
        <v>1713.369999999999</v>
      </c>
      <c r="D26" s="44">
        <f t="shared" si="3"/>
        <v>1244.17</v>
      </c>
      <c r="E26" s="44">
        <f t="shared" si="3"/>
        <v>-632.63000000000011</v>
      </c>
      <c r="F26" s="44">
        <f t="shared" si="3"/>
        <v>764.43999999999869</v>
      </c>
      <c r="G26" s="44">
        <f t="shared" si="3"/>
        <v>279.48999999999978</v>
      </c>
      <c r="H26" s="44">
        <f t="shared" si="3"/>
        <v>-3706.0699999999997</v>
      </c>
      <c r="I26" s="44">
        <f t="shared" si="3"/>
        <v>1430.1600000000017</v>
      </c>
      <c r="J26" s="44">
        <f t="shared" si="3"/>
        <v>-3947.25</v>
      </c>
      <c r="K26" s="44">
        <f t="shared" si="3"/>
        <v>-582.96000000000095</v>
      </c>
      <c r="L26" s="44">
        <f t="shared" si="3"/>
        <v>2148.42</v>
      </c>
      <c r="M26" s="44">
        <f t="shared" si="3"/>
        <v>-3289.1400000000003</v>
      </c>
      <c r="N26" s="44">
        <f t="shared" si="3"/>
        <v>0</v>
      </c>
      <c r="P26" s="54">
        <f>SUM(C26:N26)</f>
        <v>-4578.0000000000018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64" t="s">
        <v>22</v>
      </c>
      <c r="C2" s="65"/>
    </row>
    <row r="3" spans="2:3" ht="30" customHeight="1" x14ac:dyDescent="0.4">
      <c r="B3" s="29" t="s">
        <v>11</v>
      </c>
      <c r="C3" s="30">
        <v>0.08</v>
      </c>
    </row>
    <row r="4" spans="2:3" ht="30" customHeight="1" x14ac:dyDescent="0.4">
      <c r="B4" s="29" t="s">
        <v>12</v>
      </c>
      <c r="C4" s="29">
        <v>75</v>
      </c>
    </row>
    <row r="5" spans="2:3" ht="30" customHeight="1" x14ac:dyDescent="0.4">
      <c r="B5" s="29" t="s">
        <v>38</v>
      </c>
      <c r="C5" s="29">
        <v>500</v>
      </c>
    </row>
    <row r="6" spans="2:3" ht="24" customHeight="1" x14ac:dyDescent="0.4">
      <c r="B6" s="61" t="s">
        <v>39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66" t="s">
        <v>23</v>
      </c>
      <c r="C2" s="66"/>
    </row>
    <row r="3" spans="2:3" ht="16.95" customHeight="1" x14ac:dyDescent="0.4">
      <c r="B3" s="34" t="s">
        <v>24</v>
      </c>
      <c r="C3" s="35">
        <f>'2023'!P26+'2024'!P26</f>
        <v>-5.5200000000077125</v>
      </c>
    </row>
    <row r="4" spans="2:3" ht="16.95" customHeight="1" x14ac:dyDescent="0.4">
      <c r="B4" s="34" t="s">
        <v>26</v>
      </c>
      <c r="C4" s="36">
        <f>SUM('2023'!P12)+('2024'!P12)</f>
        <v>47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2024-11-19T14:01:22Z</dcterms:modified>
</cp:coreProperties>
</file>