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08\STC\Nabil ABIDLI\"/>
    </mc:Choice>
  </mc:AlternateContent>
  <bookViews>
    <workbookView xWindow="-111" yWindow="-111" windowWidth="23254" windowHeight="14854" activeTab="1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'2023'!$B$30</definedName>
    <definedName name="SOLDE" localSheetId="1">'2024'!$B$30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5" l="1"/>
  <c r="J17" i="15"/>
  <c r="P28" i="15" l="1"/>
  <c r="N26" i="15"/>
  <c r="M26" i="15"/>
  <c r="L26" i="15"/>
  <c r="K26" i="15"/>
  <c r="J26" i="15"/>
  <c r="H26" i="15"/>
  <c r="G26" i="15"/>
  <c r="E26" i="15"/>
  <c r="C26" i="15"/>
  <c r="P25" i="15"/>
  <c r="P24" i="15"/>
  <c r="I23" i="15"/>
  <c r="P23" i="15" s="1"/>
  <c r="H23" i="15"/>
  <c r="G23" i="15"/>
  <c r="F23" i="15"/>
  <c r="F26" i="15" s="1"/>
  <c r="E23" i="15"/>
  <c r="D23" i="15"/>
  <c r="D26" i="15" s="1"/>
  <c r="C23" i="15"/>
  <c r="P22" i="15"/>
  <c r="N19" i="15"/>
  <c r="N30" i="15" s="1"/>
  <c r="M19" i="15"/>
  <c r="M30" i="15" s="1"/>
  <c r="L19" i="15"/>
  <c r="L30" i="15" s="1"/>
  <c r="K19" i="15"/>
  <c r="K30" i="15" s="1"/>
  <c r="J19" i="15"/>
  <c r="G19" i="15"/>
  <c r="G30" i="15" s="1"/>
  <c r="E19" i="15"/>
  <c r="E30" i="15" s="1"/>
  <c r="P18" i="15"/>
  <c r="I17" i="15"/>
  <c r="I19" i="15" s="1"/>
  <c r="H17" i="15"/>
  <c r="H19" i="15" s="1"/>
  <c r="H30" i="15" s="1"/>
  <c r="G17" i="15"/>
  <c r="F17" i="15"/>
  <c r="F19" i="15" s="1"/>
  <c r="F30" i="15" s="1"/>
  <c r="E17" i="15"/>
  <c r="D17" i="15"/>
  <c r="D19" i="15" s="1"/>
  <c r="D30" i="15" s="1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28" i="14"/>
  <c r="N26" i="14"/>
  <c r="N30" i="14" s="1"/>
  <c r="M26" i="14"/>
  <c r="J26" i="14"/>
  <c r="I26" i="14"/>
  <c r="G26" i="14"/>
  <c r="F26" i="14"/>
  <c r="F30" i="14" s="1"/>
  <c r="E26" i="14"/>
  <c r="P25" i="14"/>
  <c r="P24" i="14"/>
  <c r="N23" i="14"/>
  <c r="M23" i="14"/>
  <c r="L23" i="14"/>
  <c r="L26" i="14" s="1"/>
  <c r="K23" i="14"/>
  <c r="K26" i="14" s="1"/>
  <c r="J23" i="14"/>
  <c r="I23" i="14"/>
  <c r="H23" i="14"/>
  <c r="H26" i="14" s="1"/>
  <c r="G23" i="14"/>
  <c r="F23" i="14"/>
  <c r="E23" i="14"/>
  <c r="D23" i="14"/>
  <c r="D26" i="14" s="1"/>
  <c r="C23" i="14"/>
  <c r="C26" i="14" s="1"/>
  <c r="P22" i="14"/>
  <c r="N19" i="14"/>
  <c r="L19" i="14"/>
  <c r="L30" i="14" s="1"/>
  <c r="K19" i="14"/>
  <c r="K30" i="14" s="1"/>
  <c r="J19" i="14"/>
  <c r="J30" i="14" s="1"/>
  <c r="F19" i="14"/>
  <c r="D19" i="14"/>
  <c r="C19" i="14"/>
  <c r="P18" i="14"/>
  <c r="N17" i="14"/>
  <c r="M17" i="14"/>
  <c r="M19" i="14" s="1"/>
  <c r="M30" i="14" s="1"/>
  <c r="L17" i="14"/>
  <c r="K17" i="14"/>
  <c r="J17" i="14"/>
  <c r="I17" i="14"/>
  <c r="I19" i="14" s="1"/>
  <c r="I30" i="14" s="1"/>
  <c r="H17" i="14"/>
  <c r="H19" i="14" s="1"/>
  <c r="G17" i="14"/>
  <c r="P17" i="14" s="1"/>
  <c r="F17" i="14"/>
  <c r="E17" i="14"/>
  <c r="E19" i="14" s="1"/>
  <c r="E30" i="14" s="1"/>
  <c r="D17" i="14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J30" i="15" l="1"/>
  <c r="P8" i="15"/>
  <c r="P26" i="14"/>
  <c r="P19" i="15"/>
  <c r="C30" i="15"/>
  <c r="H30" i="14"/>
  <c r="D30" i="14"/>
  <c r="P26" i="15"/>
  <c r="P19" i="14"/>
  <c r="P23" i="14"/>
  <c r="P17" i="15"/>
  <c r="I26" i="15"/>
  <c r="I30" i="15" s="1"/>
  <c r="C30" i="14"/>
  <c r="G19" i="14"/>
  <c r="G30" i="14" s="1"/>
  <c r="P30" i="14" l="1"/>
  <c r="P30" i="15"/>
  <c r="C3" i="13" l="1"/>
</calcChain>
</file>

<file path=xl/comments1.xml><?xml version="1.0" encoding="utf-8"?>
<comments xmlns="http://schemas.openxmlformats.org/spreadsheetml/2006/main">
  <authors>
    <author>Sadok</author>
    <author>PC-HOUDA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J18" authorId="1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24" authorId="1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  <comment ref="K24" authorId="1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 rembourser du salaire a partit d'octobre 1000/mois 
</t>
        </r>
      </text>
    </comment>
    <comment ref="F28" authorId="1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</commentList>
</comments>
</file>

<file path=xl/comments2.xml><?xml version="1.0" encoding="utf-8"?>
<comments xmlns="http://schemas.openxmlformats.org/spreadsheetml/2006/main">
  <authors>
    <author>PC-HOUDA</author>
  </authors>
  <commentList>
    <comment ref="F24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du salaire à partir du Mai 1500E/ mois</t>
        </r>
      </text>
    </comment>
  </commentList>
</comments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<sst xmlns="http://schemas.openxmlformats.org/spreadsheetml/2006/main" count="79" uniqueCount="42">
  <si>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</si>
  <si>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</si>
  <si>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</si>
  <si>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</si>
  <si>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</si>
  <si>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</si>
  <si>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</si>
  <si>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</si>
  <si>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</si>
  <si>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</si>
  <si>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</si>
  <si>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</si>
  <si>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</si>
  <si>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</si>
  <si>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</si>
  <si>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</si>
  <si>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</si>
  <si>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</si>
  <si>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</si>
  <si>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</si>
  <si>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</si>
  <si>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</si>
  <si>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</si>
  <si>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</si>
  <si>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</si>
  <si>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</si>
  <si>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</si>
  <si>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</si>
  <si>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</si>
  <si>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</si>
  <si>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</si>
  <si>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</si>
  <si>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</si>
  <si>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</si>
  <si>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</si>
  <si>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</si>
  <si>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</si>
  <si>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</si>
  <si>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</si>
  <si>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Acompte remboursé</t>
  </si>
  <si>
    <t>Acompte versé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</si>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</sst>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11" borderId="5" xfId="0" applyFont="1" applyFill="1" applyBorder="1"/>
    <xf numFmtId="4" fontId="1" fillId="11" borderId="1" xfId="0" applyNumberFormat="1" applyFont="1" applyFill="1" applyBorder="1"/>
    <xf numFmtId="4" fontId="4" fillId="12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0"/>
  <sheetViews>
    <sheetView workbookViewId="0">
      <selection activeCell="H26" sqref="H26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">
      <c r="B1" s="65" t="s">
        <v>9</v>
      </c>
    </row>
    <row r="2" spans="2:16" x14ac:dyDescent="0.4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9</v>
      </c>
      <c r="O6" s="31"/>
      <c r="P6" s="52">
        <f>SUM(C6:N6)</f>
        <v>218</v>
      </c>
    </row>
    <row r="7" spans="2:16" x14ac:dyDescent="0.4">
      <c r="B7" s="8" t="s">
        <v>20</v>
      </c>
      <c r="C7" s="33">
        <v>20</v>
      </c>
      <c r="D7" s="33">
        <v>20</v>
      </c>
      <c r="E7" s="33">
        <v>23</v>
      </c>
      <c r="F7" s="33">
        <v>16</v>
      </c>
      <c r="G7" s="33">
        <v>17</v>
      </c>
      <c r="H7" s="33">
        <v>22</v>
      </c>
      <c r="I7" s="33">
        <v>12</v>
      </c>
      <c r="J7" s="33">
        <v>8</v>
      </c>
      <c r="K7" s="33">
        <v>21</v>
      </c>
      <c r="L7" s="33">
        <v>20</v>
      </c>
      <c r="M7" s="33">
        <v>19</v>
      </c>
      <c r="N7" s="33">
        <v>23</v>
      </c>
      <c r="O7" s="31"/>
      <c r="P7" s="52">
        <f>SUM(C7:N7)</f>
        <v>221</v>
      </c>
    </row>
    <row r="8" spans="2:16" x14ac:dyDescent="0.4">
      <c r="B8" s="16" t="s">
        <v>21</v>
      </c>
      <c r="C8" s="32">
        <f t="shared" ref="C8:N8" si="0">C7-C6</f>
        <v>1</v>
      </c>
      <c r="D8" s="32">
        <f t="shared" si="0"/>
        <v>1</v>
      </c>
      <c r="E8" s="32">
        <f t="shared" si="0"/>
        <v>4</v>
      </c>
      <c r="F8" s="32">
        <f t="shared" si="0"/>
        <v>-3</v>
      </c>
      <c r="G8" s="32">
        <f t="shared" si="0"/>
        <v>-2</v>
      </c>
      <c r="H8" s="32">
        <f t="shared" si="0"/>
        <v>3</v>
      </c>
      <c r="I8" s="32">
        <f t="shared" si="0"/>
        <v>-7</v>
      </c>
      <c r="J8" s="32">
        <f t="shared" si="0"/>
        <v>-11</v>
      </c>
      <c r="K8" s="32">
        <f t="shared" si="0"/>
        <v>2</v>
      </c>
      <c r="L8" s="32">
        <f t="shared" si="0"/>
        <v>1</v>
      </c>
      <c r="M8" s="32">
        <f t="shared" si="0"/>
        <v>0</v>
      </c>
      <c r="N8" s="32">
        <f t="shared" si="0"/>
        <v>14</v>
      </c>
      <c r="O8" s="31"/>
      <c r="P8" s="52">
        <f>SUM(C8:N8)</f>
        <v>3</v>
      </c>
    </row>
    <row r="9" spans="2:16" x14ac:dyDescent="0.4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">
      <c r="B11" s="8" t="s">
        <v>13</v>
      </c>
      <c r="C11" s="10">
        <v>20</v>
      </c>
      <c r="D11" s="10">
        <v>20</v>
      </c>
      <c r="E11" s="10">
        <v>23</v>
      </c>
      <c r="F11" s="10">
        <v>16</v>
      </c>
      <c r="G11" s="10">
        <v>17</v>
      </c>
      <c r="H11" s="10">
        <v>22</v>
      </c>
      <c r="I11" s="10">
        <v>12</v>
      </c>
      <c r="J11" s="10">
        <v>8</v>
      </c>
      <c r="K11" s="10">
        <v>21</v>
      </c>
      <c r="L11" s="10">
        <v>20</v>
      </c>
      <c r="M11" s="10">
        <v>19</v>
      </c>
      <c r="N11" s="10">
        <v>23</v>
      </c>
      <c r="P11" s="53">
        <f>SUM(C11:N11)</f>
        <v>221</v>
      </c>
    </row>
    <row r="12" spans="2:16" x14ac:dyDescent="0.4">
      <c r="B12" s="8" t="s">
        <v>15</v>
      </c>
      <c r="C12" s="11">
        <v>2</v>
      </c>
      <c r="D12" s="11"/>
      <c r="E12" s="11"/>
      <c r="F12" s="11">
        <v>3</v>
      </c>
      <c r="G12" s="11">
        <v>2</v>
      </c>
      <c r="H12" s="11"/>
      <c r="I12" s="11">
        <v>8</v>
      </c>
      <c r="J12" s="11">
        <v>14</v>
      </c>
      <c r="K12" s="11"/>
      <c r="L12" s="11">
        <v>2</v>
      </c>
      <c r="M12" s="11">
        <v>2</v>
      </c>
      <c r="N12" s="11"/>
      <c r="P12" s="53">
        <f>SUM(C12:N12)</f>
        <v>33</v>
      </c>
    </row>
    <row r="13" spans="2:16" x14ac:dyDescent="0.4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>
        <v>4</v>
      </c>
      <c r="K14" s="20">
        <v>3</v>
      </c>
      <c r="L14" s="20"/>
      <c r="M14" s="20">
        <v>4</v>
      </c>
      <c r="N14" s="20">
        <v>3</v>
      </c>
      <c r="P14" s="53">
        <f>SUM(C14:N14)</f>
        <v>35</v>
      </c>
    </row>
    <row r="15" spans="2:16" x14ac:dyDescent="0.4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">
      <c r="B17" s="8" t="s">
        <v>6</v>
      </c>
      <c r="C17" s="9">
        <f>C11*Params!$C$5*(1-Params!$C$3)-Params!$C$4</f>
        <v>11885</v>
      </c>
      <c r="D17" s="9">
        <f>D11*Params!$C$5*(1-Params!$C$3)-Params!$C$4</f>
        <v>11885</v>
      </c>
      <c r="E17" s="9">
        <f>E11*Params!$C$5*(1-Params!$C$3)-Params!$C$4</f>
        <v>13679</v>
      </c>
      <c r="F17" s="9">
        <f>F11*Params!$C$5*(1-Params!$C$3)-Params!$C$4</f>
        <v>9493</v>
      </c>
      <c r="G17" s="9">
        <f>G11*Params!$C$5*(1-Params!$C$3)-Params!$C$4</f>
        <v>10091</v>
      </c>
      <c r="H17" s="9">
        <f>H11*Params!$C$5*(1-Params!$C$3)-Params!$C$4</f>
        <v>13081</v>
      </c>
      <c r="I17" s="9">
        <f>I11*Params!$C$5*(1-Params!$C$3)-Params!$C$4</f>
        <v>7101</v>
      </c>
      <c r="J17" s="9">
        <f>J11*Params!$C$5*(1-Params!$C$3)-Params!$C$4</f>
        <v>4709</v>
      </c>
      <c r="K17" s="9">
        <f>K11*Params!$C$5*(1-Params!$C$3)-Params!$C$4</f>
        <v>12483</v>
      </c>
      <c r="L17" s="9">
        <f>L11*Params!$C$5*(1-Params!$C$3)-Params!$C$4</f>
        <v>11885</v>
      </c>
      <c r="M17" s="9">
        <f>M11*Params!$C$5*(1-Params!$C$3)-Params!$C$4</f>
        <v>11287</v>
      </c>
      <c r="N17" s="9">
        <f>N11*Params!$C$5*(1-Params!$C$3)-Params!$C$4</f>
        <v>13679</v>
      </c>
      <c r="O17" s="4"/>
      <c r="P17" s="37">
        <f>SUM(C17:N17)</f>
        <v>131258</v>
      </c>
    </row>
    <row r="18" spans="2:16" x14ac:dyDescent="0.4">
      <c r="B18" s="8" t="s">
        <v>14</v>
      </c>
      <c r="C18" s="9">
        <v>819</v>
      </c>
      <c r="D18" s="9"/>
      <c r="E18" s="9">
        <v>1376</v>
      </c>
      <c r="F18" s="9"/>
      <c r="G18" s="9">
        <v>1608</v>
      </c>
      <c r="H18" s="9"/>
      <c r="I18" s="9"/>
      <c r="J18" s="9">
        <v>819</v>
      </c>
      <c r="K18" s="9"/>
      <c r="L18" s="9"/>
      <c r="M18" s="9">
        <v>1097</v>
      </c>
      <c r="N18" s="9"/>
      <c r="O18" s="4"/>
      <c r="P18" s="37">
        <f>SUM(C18:N18)</f>
        <v>5719</v>
      </c>
    </row>
    <row r="19" spans="2:16" x14ac:dyDescent="0.4">
      <c r="B19" s="24" t="s">
        <v>2</v>
      </c>
      <c r="C19" s="25">
        <f t="shared" ref="C19:N19" si="1">SUM(C17:C18)</f>
        <v>12704</v>
      </c>
      <c r="D19" s="25">
        <f t="shared" si="1"/>
        <v>11885</v>
      </c>
      <c r="E19" s="25">
        <f t="shared" si="1"/>
        <v>15055</v>
      </c>
      <c r="F19" s="25">
        <f t="shared" si="1"/>
        <v>9493</v>
      </c>
      <c r="G19" s="25">
        <f t="shared" si="1"/>
        <v>11699</v>
      </c>
      <c r="H19" s="25">
        <f t="shared" si="1"/>
        <v>13081</v>
      </c>
      <c r="I19" s="25">
        <f t="shared" si="1"/>
        <v>7101</v>
      </c>
      <c r="J19" s="25">
        <f t="shared" si="1"/>
        <v>5528</v>
      </c>
      <c r="K19" s="25">
        <f t="shared" si="1"/>
        <v>12483</v>
      </c>
      <c r="L19" s="25">
        <f t="shared" si="1"/>
        <v>11885</v>
      </c>
      <c r="M19" s="25">
        <f t="shared" si="1"/>
        <v>12384</v>
      </c>
      <c r="N19" s="25">
        <f t="shared" si="1"/>
        <v>13679</v>
      </c>
      <c r="O19" s="5"/>
      <c r="P19" s="38">
        <f>SUM(C19:N19)</f>
        <v>136977</v>
      </c>
    </row>
    <row r="20" spans="2:16" x14ac:dyDescent="0.4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">
      <c r="B22" s="8" t="s">
        <v>7</v>
      </c>
      <c r="C22" s="9">
        <v>7109.12</v>
      </c>
      <c r="D22" s="9">
        <v>7108</v>
      </c>
      <c r="E22" s="9">
        <v>7108</v>
      </c>
      <c r="F22" s="9">
        <v>6108</v>
      </c>
      <c r="G22" s="9">
        <v>6108</v>
      </c>
      <c r="H22" s="9">
        <v>6108</v>
      </c>
      <c r="I22" s="9">
        <v>6108</v>
      </c>
      <c r="J22" s="9">
        <v>6108</v>
      </c>
      <c r="K22" s="9">
        <v>6108</v>
      </c>
      <c r="L22" s="9">
        <v>6108</v>
      </c>
      <c r="M22" s="9">
        <v>6108</v>
      </c>
      <c r="N22" s="9">
        <v>6001.56</v>
      </c>
      <c r="O22" s="4"/>
      <c r="P22" s="39">
        <f>SUM(C22:N22)</f>
        <v>76190.679999999993</v>
      </c>
    </row>
    <row r="23" spans="2:16" x14ac:dyDescent="0.4">
      <c r="B23" s="8" t="s">
        <v>8</v>
      </c>
      <c r="C23" s="9">
        <f>1382.95+2783.86</f>
        <v>4166.8100000000004</v>
      </c>
      <c r="D23" s="9">
        <f>1384.07+2789.67</f>
        <v>4173.74</v>
      </c>
      <c r="E23" s="9">
        <f>1384.07+2784.42</f>
        <v>4168.49</v>
      </c>
      <c r="F23" s="9">
        <f>1384.07+2784.42</f>
        <v>4168.49</v>
      </c>
      <c r="G23" s="9">
        <f>1384.07+2795.72</f>
        <v>4179.79</v>
      </c>
      <c r="H23" s="9">
        <f>1384.07+2791.37</f>
        <v>4175.4399999999996</v>
      </c>
      <c r="I23" s="9">
        <f>1384.07+2786.12</f>
        <v>4170.1899999999996</v>
      </c>
      <c r="J23" s="9">
        <f>1384.07+2807.16</f>
        <v>4191.2299999999996</v>
      </c>
      <c r="K23" s="9">
        <f>1384.07+2822.94</f>
        <v>4207.01</v>
      </c>
      <c r="L23" s="9">
        <f>1384.07+2786.12</f>
        <v>4170.1899999999996</v>
      </c>
      <c r="M23" s="9">
        <f>1384.07+2791.37</f>
        <v>4175.4399999999996</v>
      </c>
      <c r="N23" s="9">
        <f>1371.71+2750.91</f>
        <v>4122.62</v>
      </c>
      <c r="O23" s="4"/>
      <c r="P23" s="39">
        <f>SUM(C23:N23)</f>
        <v>50069.440000000002</v>
      </c>
    </row>
    <row r="24" spans="2:16" x14ac:dyDescent="0.4">
      <c r="B24" s="60" t="s">
        <v>40</v>
      </c>
      <c r="C24" s="9"/>
      <c r="D24" s="64">
        <v>6000</v>
      </c>
      <c r="E24" s="9"/>
      <c r="F24" s="9"/>
      <c r="G24" s="9"/>
      <c r="H24" s="9"/>
      <c r="I24" s="9"/>
      <c r="J24" s="9"/>
      <c r="K24" s="64">
        <v>4000</v>
      </c>
      <c r="L24" s="9"/>
      <c r="M24" s="9"/>
      <c r="N24" s="9"/>
      <c r="O24" s="4"/>
      <c r="P24" s="39">
        <f>SUM(C24:N24)</f>
        <v>10000</v>
      </c>
    </row>
    <row r="25" spans="2:16" x14ac:dyDescent="0.4">
      <c r="B25" s="60" t="s">
        <v>41</v>
      </c>
      <c r="C25" s="61"/>
      <c r="D25" s="61"/>
      <c r="E25" s="61"/>
      <c r="F25" s="61"/>
      <c r="G25" s="61"/>
      <c r="H25" s="61">
        <v>1232.5</v>
      </c>
      <c r="I25" s="61"/>
      <c r="J25" s="61"/>
      <c r="K25" s="61"/>
      <c r="L25" s="61"/>
      <c r="M25" s="61"/>
      <c r="N25" s="61"/>
      <c r="O25" s="4"/>
      <c r="P25" s="39">
        <f>SUM(C25:N25)</f>
        <v>1232.5</v>
      </c>
    </row>
    <row r="26" spans="2:16" x14ac:dyDescent="0.4">
      <c r="B26" s="7" t="s">
        <v>3</v>
      </c>
      <c r="C26" s="40">
        <f t="shared" ref="C26:N26" si="2">SUM(C22:C25)</f>
        <v>11275.93</v>
      </c>
      <c r="D26" s="40">
        <f t="shared" si="2"/>
        <v>17281.739999999998</v>
      </c>
      <c r="E26" s="40">
        <f t="shared" si="2"/>
        <v>11276.49</v>
      </c>
      <c r="F26" s="40">
        <f t="shared" si="2"/>
        <v>10276.49</v>
      </c>
      <c r="G26" s="40">
        <f t="shared" si="2"/>
        <v>10287.790000000001</v>
      </c>
      <c r="H26" s="40">
        <f t="shared" si="2"/>
        <v>11515.939999999999</v>
      </c>
      <c r="I26" s="40">
        <f t="shared" si="2"/>
        <v>10278.189999999999</v>
      </c>
      <c r="J26" s="40">
        <f t="shared" si="2"/>
        <v>10299.23</v>
      </c>
      <c r="K26" s="40">
        <f t="shared" si="2"/>
        <v>14315.01</v>
      </c>
      <c r="L26" s="40">
        <f t="shared" si="2"/>
        <v>10278.189999999999</v>
      </c>
      <c r="M26" s="40">
        <f t="shared" si="2"/>
        <v>10283.439999999999</v>
      </c>
      <c r="N26" s="40">
        <f t="shared" si="2"/>
        <v>10124.18</v>
      </c>
      <c r="O26" s="4"/>
      <c r="P26" s="41">
        <f>SUM(C26:N26)</f>
        <v>137492.62</v>
      </c>
    </row>
    <row r="27" spans="2:16" x14ac:dyDescent="0.4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">
      <c r="B28" s="62" t="s">
        <v>39</v>
      </c>
      <c r="C28" s="63"/>
      <c r="D28" s="63"/>
      <c r="E28" s="63"/>
      <c r="F28" s="63">
        <v>1000</v>
      </c>
      <c r="G28" s="63">
        <v>1000</v>
      </c>
      <c r="H28" s="63">
        <v>1000</v>
      </c>
      <c r="I28" s="63">
        <v>1000</v>
      </c>
      <c r="J28" s="63">
        <v>1000</v>
      </c>
      <c r="K28" s="63">
        <v>1000</v>
      </c>
      <c r="L28" s="63">
        <v>1000</v>
      </c>
      <c r="M28" s="63">
        <v>1000</v>
      </c>
      <c r="N28" s="63">
        <v>1000</v>
      </c>
      <c r="O28" s="5"/>
      <c r="P28" s="63">
        <f>SUM(C28:N28)</f>
        <v>9000</v>
      </c>
    </row>
    <row r="29" spans="2:16" x14ac:dyDescent="0.4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4">
      <c r="B30" s="43" t="s">
        <v>25</v>
      </c>
      <c r="C30" s="44">
        <f t="shared" ref="C30:N30" si="3">C19-C26</f>
        <v>1428.0699999999997</v>
      </c>
      <c r="D30" s="44">
        <f t="shared" si="3"/>
        <v>-5396.739999999998</v>
      </c>
      <c r="E30" s="44">
        <f t="shared" si="3"/>
        <v>3778.51</v>
      </c>
      <c r="F30" s="44">
        <f t="shared" si="3"/>
        <v>-783.48999999999978</v>
      </c>
      <c r="G30" s="44">
        <f t="shared" si="3"/>
        <v>1411.2099999999991</v>
      </c>
      <c r="H30" s="44">
        <f t="shared" si="3"/>
        <v>1565.0600000000013</v>
      </c>
      <c r="I30" s="44">
        <f t="shared" si="3"/>
        <v>-3177.1899999999987</v>
      </c>
      <c r="J30" s="44">
        <f t="shared" si="3"/>
        <v>-4771.2299999999996</v>
      </c>
      <c r="K30" s="44">
        <f t="shared" si="3"/>
        <v>-1832.0100000000002</v>
      </c>
      <c r="L30" s="44">
        <f t="shared" si="3"/>
        <v>1606.8100000000013</v>
      </c>
      <c r="M30" s="44">
        <f t="shared" si="3"/>
        <v>2100.5600000000013</v>
      </c>
      <c r="N30" s="44">
        <f t="shared" si="3"/>
        <v>3554.8199999999997</v>
      </c>
      <c r="P30" s="54">
        <f>SUM(C30:N30)</f>
        <v>-515.61999999999352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0"/>
  <sheetViews>
    <sheetView tabSelected="1" workbookViewId="0">
      <selection activeCell="J24" sqref="J24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">
      <c r="B1" s="65" t="s">
        <v>9</v>
      </c>
    </row>
    <row r="2" spans="2:16" x14ac:dyDescent="0.4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152</v>
      </c>
    </row>
    <row r="7" spans="2:16" x14ac:dyDescent="0.4">
      <c r="B7" s="8" t="s">
        <v>20</v>
      </c>
      <c r="C7" s="33">
        <v>22</v>
      </c>
      <c r="D7" s="33">
        <v>21</v>
      </c>
      <c r="E7" s="33">
        <v>21</v>
      </c>
      <c r="F7" s="33">
        <v>20</v>
      </c>
      <c r="G7" s="33">
        <v>18</v>
      </c>
      <c r="H7" s="33">
        <v>19</v>
      </c>
      <c r="I7" s="33">
        <v>22</v>
      </c>
      <c r="J7" s="33">
        <v>10</v>
      </c>
      <c r="K7" s="33"/>
      <c r="L7" s="33"/>
      <c r="M7" s="33"/>
      <c r="N7" s="33"/>
      <c r="O7" s="31"/>
      <c r="P7" s="52">
        <f>SUM(C7:N7)</f>
        <v>153</v>
      </c>
    </row>
    <row r="8" spans="2:16" x14ac:dyDescent="0.4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2</v>
      </c>
      <c r="F8" s="32">
        <f t="shared" si="0"/>
        <v>1</v>
      </c>
      <c r="G8" s="32">
        <f t="shared" si="0"/>
        <v>-1</v>
      </c>
      <c r="H8" s="32">
        <f t="shared" si="0"/>
        <v>0</v>
      </c>
      <c r="I8" s="32">
        <f t="shared" si="0"/>
        <v>3</v>
      </c>
      <c r="J8" s="32">
        <f t="shared" si="0"/>
        <v>-9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4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">
      <c r="B11" s="8" t="s">
        <v>13</v>
      </c>
      <c r="C11" s="10">
        <v>22</v>
      </c>
      <c r="D11" s="10">
        <v>21</v>
      </c>
      <c r="E11" s="10">
        <v>21</v>
      </c>
      <c r="F11" s="10">
        <v>20.5</v>
      </c>
      <c r="G11" s="10">
        <v>18</v>
      </c>
      <c r="H11" s="10">
        <v>19</v>
      </c>
      <c r="I11" s="10">
        <v>22.5</v>
      </c>
      <c r="J11" s="10">
        <v>10</v>
      </c>
      <c r="K11" s="10"/>
      <c r="L11" s="10"/>
      <c r="M11" s="10"/>
      <c r="N11" s="10"/>
      <c r="P11" s="53">
        <f>SUM(C11:N11)</f>
        <v>154</v>
      </c>
    </row>
    <row r="12" spans="2:16" x14ac:dyDescent="0.4">
      <c r="B12" s="8" t="s">
        <v>15</v>
      </c>
      <c r="C12" s="11"/>
      <c r="D12" s="11"/>
      <c r="E12" s="11"/>
      <c r="F12" s="11">
        <v>0.5</v>
      </c>
      <c r="G12" s="11">
        <v>1</v>
      </c>
      <c r="H12" s="11">
        <v>1</v>
      </c>
      <c r="I12" s="11">
        <v>0.5</v>
      </c>
      <c r="J12" s="11"/>
      <c r="K12" s="11"/>
      <c r="L12" s="11"/>
      <c r="M12" s="11"/>
      <c r="N12" s="11"/>
      <c r="P12" s="53">
        <f>SUM(C12:N12)</f>
        <v>3</v>
      </c>
    </row>
    <row r="13" spans="2:16" x14ac:dyDescent="0.4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/>
      <c r="K14" s="20"/>
      <c r="L14" s="20"/>
      <c r="M14" s="20"/>
      <c r="N14" s="20"/>
      <c r="P14" s="53">
        <f>SUM(C14:N14)</f>
        <v>21</v>
      </c>
    </row>
    <row r="15" spans="2:16" x14ac:dyDescent="0.4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">
      <c r="B17" s="8" t="s">
        <v>6</v>
      </c>
      <c r="C17" s="9">
        <f>C11*Params!$C$5*(1-Params!$C$3)-Params!$C$4</f>
        <v>13081</v>
      </c>
      <c r="D17" s="9">
        <f>D11*Params!$C$5*(1-Params!$C$3)-Params!$C$4</f>
        <v>12483</v>
      </c>
      <c r="E17" s="9">
        <f>E11*Params!$C$5*(1-Params!$C$3)-Params!$C$4</f>
        <v>12483</v>
      </c>
      <c r="F17" s="9">
        <f>F11*Params!$C$5*(1-Params!$C$3)-Params!$C$4</f>
        <v>12184</v>
      </c>
      <c r="G17" s="9">
        <f>G11*Params!$C$5*(1-Params!$C$3)-Params!$C$4</f>
        <v>10689</v>
      </c>
      <c r="H17" s="9">
        <f>H11*Params!$C$5*(1-Params!$C$3)-Params!$C$4</f>
        <v>11287</v>
      </c>
      <c r="I17" s="9">
        <f>I11*Params!$C$5*(1-Params!$C$3)-Params!$C$4</f>
        <v>13380</v>
      </c>
      <c r="J17" s="9">
        <f>J11*Params!$C$5*(1-Params!$C$3)-Params!$C$4</f>
        <v>5905</v>
      </c>
      <c r="K17" s="9"/>
      <c r="L17" s="9"/>
      <c r="M17" s="9"/>
      <c r="N17" s="9"/>
      <c r="O17" s="4"/>
      <c r="P17" s="37">
        <f>SUM(C17:N17)</f>
        <v>91492</v>
      </c>
    </row>
    <row r="18" spans="2:16" x14ac:dyDescent="0.4">
      <c r="B18" s="8" t="s">
        <v>14</v>
      </c>
      <c r="C18" s="9">
        <v>680</v>
      </c>
      <c r="D18" s="9"/>
      <c r="E18" s="9">
        <v>819</v>
      </c>
      <c r="F18" s="9"/>
      <c r="G18" s="9">
        <v>1515</v>
      </c>
      <c r="H18" s="9"/>
      <c r="I18" s="9"/>
      <c r="J18" s="9"/>
      <c r="K18" s="9"/>
      <c r="L18" s="9"/>
      <c r="M18" s="9"/>
      <c r="N18" s="9"/>
      <c r="O18" s="4"/>
      <c r="P18" s="37">
        <f>SUM(C18:N18)</f>
        <v>3014</v>
      </c>
    </row>
    <row r="19" spans="2:16" x14ac:dyDescent="0.4">
      <c r="B19" s="24" t="s">
        <v>2</v>
      </c>
      <c r="C19" s="25">
        <f t="shared" ref="C19:N19" si="1">SUM(C17:C18)</f>
        <v>13761</v>
      </c>
      <c r="D19" s="25">
        <f t="shared" si="1"/>
        <v>12483</v>
      </c>
      <c r="E19" s="25">
        <f t="shared" si="1"/>
        <v>13302</v>
      </c>
      <c r="F19" s="25">
        <f t="shared" si="1"/>
        <v>12184</v>
      </c>
      <c r="G19" s="25">
        <f t="shared" si="1"/>
        <v>12204</v>
      </c>
      <c r="H19" s="25">
        <f t="shared" si="1"/>
        <v>11287</v>
      </c>
      <c r="I19" s="25">
        <f t="shared" si="1"/>
        <v>13380</v>
      </c>
      <c r="J19" s="25">
        <f t="shared" si="1"/>
        <v>5905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94506</v>
      </c>
    </row>
    <row r="20" spans="2:16" x14ac:dyDescent="0.4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">
      <c r="B22" s="8" t="s">
        <v>7</v>
      </c>
      <c r="C22" s="9">
        <v>6101.27</v>
      </c>
      <c r="D22" s="9">
        <v>7101.27</v>
      </c>
      <c r="E22" s="9">
        <v>7101.27</v>
      </c>
      <c r="F22" s="9">
        <v>7101.27</v>
      </c>
      <c r="G22" s="9">
        <v>6522.44</v>
      </c>
      <c r="H22" s="9">
        <v>5601.27</v>
      </c>
      <c r="I22" s="9">
        <v>5601.27</v>
      </c>
      <c r="J22" s="9">
        <v>9041.15</v>
      </c>
      <c r="K22" s="9"/>
      <c r="L22" s="9"/>
      <c r="M22" s="9"/>
      <c r="N22" s="9"/>
      <c r="O22" s="4"/>
      <c r="P22" s="39">
        <f>SUM(C22:N22)</f>
        <v>54171.210000000014</v>
      </c>
    </row>
    <row r="23" spans="2:16" x14ac:dyDescent="0.4">
      <c r="B23" s="8" t="s">
        <v>8</v>
      </c>
      <c r="C23" s="9">
        <f>1397.65+2804.21</f>
        <v>4201.8600000000006</v>
      </c>
      <c r="D23" s="9">
        <f>1397.65+2804.21</f>
        <v>4201.8600000000006</v>
      </c>
      <c r="E23" s="9">
        <f>1397.65+2804.21</f>
        <v>4201.8600000000006</v>
      </c>
      <c r="F23" s="9">
        <f>1397.65+2804.21</f>
        <v>4201.8600000000006</v>
      </c>
      <c r="G23" s="9">
        <f>1604.48+3225.34</f>
        <v>4829.82</v>
      </c>
      <c r="H23" s="9">
        <f>1397.65+2837.57</f>
        <v>4235.22</v>
      </c>
      <c r="I23" s="9">
        <f>1397.65+2840.99</f>
        <v>4238.6399999999994</v>
      </c>
      <c r="J23" s="9">
        <f>1217.82+2493.46</f>
        <v>3711.2799999999997</v>
      </c>
      <c r="K23" s="9"/>
      <c r="L23" s="9"/>
      <c r="M23" s="9"/>
      <c r="N23" s="9"/>
      <c r="O23" s="4"/>
      <c r="P23" s="39">
        <f>SUM(C23:N23)</f>
        <v>33822.400000000001</v>
      </c>
    </row>
    <row r="24" spans="2:16" x14ac:dyDescent="0.4">
      <c r="B24" s="60" t="s">
        <v>40</v>
      </c>
      <c r="C24" s="9"/>
      <c r="D24" s="9"/>
      <c r="E24" s="9"/>
      <c r="F24" s="64">
        <v>4500</v>
      </c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4500</v>
      </c>
    </row>
    <row r="25" spans="2:16" x14ac:dyDescent="0.4">
      <c r="B25" s="60" t="s">
        <v>41</v>
      </c>
      <c r="C25" s="61"/>
      <c r="D25" s="61">
        <v>1498.34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>
        <f>SUM(C25:N25)</f>
        <v>1498.34</v>
      </c>
    </row>
    <row r="26" spans="2:16" x14ac:dyDescent="0.4">
      <c r="B26" s="7" t="s">
        <v>3</v>
      </c>
      <c r="C26" s="40">
        <f t="shared" ref="C26:N26" si="2">SUM(C22:C25)</f>
        <v>10303.130000000001</v>
      </c>
      <c r="D26" s="40">
        <f t="shared" si="2"/>
        <v>12801.470000000001</v>
      </c>
      <c r="E26" s="40">
        <f t="shared" si="2"/>
        <v>11303.130000000001</v>
      </c>
      <c r="F26" s="40">
        <f t="shared" si="2"/>
        <v>15803.130000000001</v>
      </c>
      <c r="G26" s="40">
        <f t="shared" si="2"/>
        <v>11352.259999999998</v>
      </c>
      <c r="H26" s="40">
        <f t="shared" si="2"/>
        <v>9836.4900000000016</v>
      </c>
      <c r="I26" s="40">
        <f t="shared" si="2"/>
        <v>9839.91</v>
      </c>
      <c r="J26" s="40">
        <f t="shared" si="2"/>
        <v>12752.43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93991.950000000012</v>
      </c>
    </row>
    <row r="27" spans="2:16" x14ac:dyDescent="0.4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">
      <c r="B28" s="62" t="s">
        <v>39</v>
      </c>
      <c r="C28" s="63">
        <v>1000</v>
      </c>
      <c r="D28" s="63"/>
      <c r="E28" s="63"/>
      <c r="F28" s="63"/>
      <c r="G28" s="63">
        <v>1500</v>
      </c>
      <c r="H28" s="63">
        <v>1500</v>
      </c>
      <c r="I28" s="63">
        <v>1500</v>
      </c>
      <c r="J28" s="63"/>
      <c r="K28" s="63"/>
      <c r="L28" s="63"/>
      <c r="M28" s="63"/>
      <c r="N28" s="63"/>
      <c r="O28" s="5"/>
      <c r="P28" s="63">
        <f>SUM(C28:N28)</f>
        <v>5500</v>
      </c>
    </row>
    <row r="29" spans="2:16" x14ac:dyDescent="0.4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4">
      <c r="B30" s="43" t="s">
        <v>25</v>
      </c>
      <c r="C30" s="44">
        <f t="shared" ref="C30:N30" si="3">C19-C26</f>
        <v>3457.869999999999</v>
      </c>
      <c r="D30" s="44">
        <f t="shared" si="3"/>
        <v>-318.47000000000116</v>
      </c>
      <c r="E30" s="44">
        <f t="shared" si="3"/>
        <v>1998.869999999999</v>
      </c>
      <c r="F30" s="44">
        <f t="shared" si="3"/>
        <v>-3619.130000000001</v>
      </c>
      <c r="G30" s="44">
        <f t="shared" si="3"/>
        <v>851.7400000000016</v>
      </c>
      <c r="H30" s="44">
        <f t="shared" si="3"/>
        <v>1450.5099999999984</v>
      </c>
      <c r="I30" s="44">
        <f t="shared" si="3"/>
        <v>3540.09</v>
      </c>
      <c r="J30" s="44">
        <f t="shared" si="3"/>
        <v>-6847.43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P30" s="54">
        <f>SUM(C30:N30)</f>
        <v>514.04999999999563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5" sqref="B5"/>
    </sheetView>
  </sheetViews>
  <sheetFormatPr baseColWidth="10" defaultRowHeight="14.6" x14ac:dyDescent="0.4"/>
  <cols>
    <col min="1" max="1" width="2" customWidth="1"/>
    <col min="2" max="2" width="32" customWidth="1"/>
    <col min="3" max="3" width="28.765625" customWidth="1"/>
  </cols>
  <sheetData>
    <row r="2" spans="2:3" ht="30" customHeight="1" x14ac:dyDescent="0.4">
      <c r="B2" s="67" t="s">
        <v>22</v>
      </c>
      <c r="C2" s="68"/>
    </row>
    <row r="3" spans="2:3" ht="30" customHeight="1" x14ac:dyDescent="0.4">
      <c r="B3" s="29" t="s">
        <v>11</v>
      </c>
      <c r="C3" s="30">
        <v>0.08</v>
      </c>
    </row>
    <row r="4" spans="2:3" ht="30" customHeight="1" x14ac:dyDescent="0.4">
      <c r="B4" s="29" t="s">
        <v>12</v>
      </c>
      <c r="C4" s="29">
        <v>75</v>
      </c>
    </row>
    <row r="5" spans="2:3" ht="30" customHeight="1" x14ac:dyDescent="0.4">
      <c r="B5" s="29" t="s">
        <v>38</v>
      </c>
      <c r="C5" s="29">
        <v>650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5" sqref="C5"/>
    </sheetView>
  </sheetViews>
  <sheetFormatPr baseColWidth="10" defaultRowHeight="14.6" x14ac:dyDescent="0.4"/>
  <cols>
    <col min="2" max="2" width="20.3046875" customWidth="1"/>
  </cols>
  <sheetData>
    <row r="2" spans="2:3" ht="16.95" customHeight="1" x14ac:dyDescent="0.4">
      <c r="B2" s="69" t="s">
        <v>23</v>
      </c>
      <c r="C2" s="69"/>
    </row>
    <row r="3" spans="2:3" ht="16.95" customHeight="1" x14ac:dyDescent="0.4">
      <c r="B3" s="34" t="s">
        <v>24</v>
      </c>
      <c r="C3" s="35">
        <f>'2023'!P30+'2024'!P30</f>
        <v>-1.56999999999789</v>
      </c>
    </row>
    <row r="4" spans="2:3" ht="16.95" customHeight="1" x14ac:dyDescent="0.4">
      <c r="B4" s="34" t="s">
        <v>26</v>
      </c>
      <c r="C4" s="36">
        <f>SUM('2023'!P12)+('2024'!P12)</f>
        <v>36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2024-08-28T10:13:04Z</dcterms:modified>
</cp:coreProperties>
</file>