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8\Normal\"/>
    </mc:Choice>
  </mc:AlternateContent>
  <xr:revisionPtr revIDLastSave="0" documentId="13_ncr:1_{D7DD9EAE-FD25-4E7D-BFA2-43DC0E94A8C5}" xr6:coauthVersionLast="47" xr6:coauthVersionMax="47" xr10:uidLastSave="{00000000-0000-0000-0000-000000000000}"/>
  <bookViews>
    <workbookView xWindow="-108" yWindow="-108" windowWidth="23256" windowHeight="14856" activeTab="1" xr2:uid="{00000000-000D-0000-FFFF-FFFF00000000}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 localSheetId="1">'2024'!$J$3</definedName>
    <definedName name="AOUT">#REF!</definedName>
    <definedName name="AVANCE_SUR_SALAIRE" localSheetId="0">'2023'!#REF!</definedName>
    <definedName name="AVANCE_SUR_SALAIRE" localSheetId="1">'2024'!#REF!</definedName>
    <definedName name="AVANCE_SUR_SALAIRE">#REF!</definedName>
    <definedName name="AVRIL" localSheetId="0">'2023'!$F$3</definedName>
    <definedName name="AVRIL" localSheetId="1">'2024'!$F$3</definedName>
    <definedName name="AVRIL">#REF!</definedName>
    <definedName name="CRA" localSheetId="0">'2023'!$B$10</definedName>
    <definedName name="CRA" localSheetId="1">'2024'!$B$10</definedName>
    <definedName name="CRA">#REF!</definedName>
    <definedName name="CRA_ASTREINTE" localSheetId="0">'2023'!$B$14</definedName>
    <definedName name="CRA_ASTREINTE" localSheetId="1">'2024'!$B$14</definedName>
    <definedName name="CRA_ASTREINTE">#REF!</definedName>
    <definedName name="CRA_CP" localSheetId="0">'2023'!$B$12</definedName>
    <definedName name="CRA_CP" localSheetId="1">'2024'!$B$12</definedName>
    <definedName name="CRA_CP">#REF!</definedName>
    <definedName name="CRA_PRODUCTION" localSheetId="0">'2023'!$B$11</definedName>
    <definedName name="CRA_PRODUCTION" localSheetId="1">'2024'!$B$11</definedName>
    <definedName name="CRA_PRODUCTION">#REF!</definedName>
    <definedName name="CRA_SANS_SOLDE" localSheetId="0">'2023'!$B$13</definedName>
    <definedName name="CRA_SANS_SOLDE" localSheetId="1">'2024'!$B$13</definedName>
    <definedName name="CRA_SANS_SOLDE">#REF!</definedName>
    <definedName name="DECEMBRE" localSheetId="0">'2023'!$N$3</definedName>
    <definedName name="DECEMBRE" localSheetId="1">'2024'!$N$3</definedName>
    <definedName name="DECEMBRE">#REF!</definedName>
    <definedName name="ENTREES" localSheetId="0">'2023'!$B$16</definedName>
    <definedName name="ENTREES" localSheetId="1">'2024'!$B$16</definedName>
    <definedName name="ENTREES">#REF!</definedName>
    <definedName name="ENTREES_ASTREINTE" localSheetId="0">'2023'!$B$18</definedName>
    <definedName name="ENTREES_ASTREINTE" localSheetId="1">'2024'!$B$18</definedName>
    <definedName name="ENTREES_ASTREINTE">#REF!</definedName>
    <definedName name="ENTREES_FACTURE" localSheetId="0">'2023'!$B$17</definedName>
    <definedName name="ENTREES_FACTURE" localSheetId="1">'2024'!$B$17</definedName>
    <definedName name="ENTREES_FACTURE">#REF!</definedName>
    <definedName name="FEVRIER" localSheetId="0">'2023'!$D$3</definedName>
    <definedName name="FEVRIER" localSheetId="1">'2024'!$D$3</definedName>
    <definedName name="FEVRIER">#REF!</definedName>
    <definedName name="JANVIER" localSheetId="0">'2023'!$C$3</definedName>
    <definedName name="JANVIER" localSheetId="1">'2024'!$C$3</definedName>
    <definedName name="JANVIER">#REF!</definedName>
    <definedName name="JUILLET" localSheetId="0">'2023'!$I$3</definedName>
    <definedName name="JUILLET" localSheetId="1">'2024'!$I$3</definedName>
    <definedName name="JUILLET">#REF!</definedName>
    <definedName name="JUIN" localSheetId="0">'2023'!$H$3</definedName>
    <definedName name="JUIN" localSheetId="1">'2024'!$H$3</definedName>
    <definedName name="JUIN">#REF!</definedName>
    <definedName name="MAI" localSheetId="0">'2023'!$G$3</definedName>
    <definedName name="MAI" localSheetId="1">'2024'!$G$3</definedName>
    <definedName name="MAI">#REF!</definedName>
    <definedName name="MARS" localSheetId="0">'2023'!$E$3</definedName>
    <definedName name="MARS" localSheetId="1">'2024'!$E$3</definedName>
    <definedName name="MARS">#REF!</definedName>
    <definedName name="MOIS" localSheetId="0">'2023'!$B$3</definedName>
    <definedName name="MOIS" localSheetId="1">'2024'!$B$3</definedName>
    <definedName name="MOIS">#REF!</definedName>
    <definedName name="NOVEMBRE" localSheetId="0">'2023'!$M$3</definedName>
    <definedName name="NOVEMBRE" localSheetId="1">'2024'!$M$3</definedName>
    <definedName name="NOVEMBRE">#REF!</definedName>
    <definedName name="OCTOBRE" localSheetId="0">'2023'!$L$3</definedName>
    <definedName name="OCTOBRE" localSheetId="1">'2024'!$L$3</definedName>
    <definedName name="OCTOBRE">#REF!</definedName>
    <definedName name="REPAS" localSheetId="0">'2023'!$B$5</definedName>
    <definedName name="REPAS" localSheetId="1">'2024'!$B$5</definedName>
    <definedName name="REPAS">#REF!</definedName>
    <definedName name="REPAS_ACQUIS" localSheetId="0">'2023'!$B$7</definedName>
    <definedName name="REPAS_ACQUIS" localSheetId="1">'2024'!$B$7</definedName>
    <definedName name="REPAS_ACQUIS">#REF!</definedName>
    <definedName name="REPAS_PRIS" localSheetId="0">'2023'!$B$6</definedName>
    <definedName name="REPAS_PRIS" localSheetId="1">'2024'!$B$6</definedName>
    <definedName name="REPAS_PRIS">#REF!</definedName>
    <definedName name="REPAS_SOLDE" localSheetId="0">'2023'!$B$8</definedName>
    <definedName name="REPAS_SOLDE" localSheetId="1">'2024'!$B$8</definedName>
    <definedName name="REPAS_SOLDE">#REF!</definedName>
    <definedName name="SEPTEMBRE" localSheetId="0">'2023'!$K$3</definedName>
    <definedName name="SEPTEMBRE" localSheetId="1">'2024'!$K$3</definedName>
    <definedName name="SEPTEMBRE">#REF!</definedName>
    <definedName name="SOLDE" localSheetId="0">'2023'!$B$30</definedName>
    <definedName name="SOLDE" localSheetId="1">'2024'!$B$30</definedName>
    <definedName name="SORTIES" localSheetId="0">'2023'!$B$21</definedName>
    <definedName name="SORTIES" localSheetId="1">'2024'!$B$21</definedName>
    <definedName name="SORTIES">#REF!</definedName>
    <definedName name="SORTIES_ABONDEMENT" localSheetId="0">'2023'!#REF!</definedName>
    <definedName name="SORTIES_ABONDEMENT" localSheetId="1">'2024'!#REF!</definedName>
    <definedName name="SORTIES_ABONDEMENT">#REF!</definedName>
    <definedName name="SORTIES_CHARGES_SOCIALES_PATRONALES" localSheetId="0">'2023'!$B$23</definedName>
    <definedName name="SORTIES_CHARGES_SOCIALES_PATRONALES" localSheetId="1">'2024'!$B$23</definedName>
    <definedName name="SORTIES_CHARGES_SOCIALES_PATRONALES">#REF!</definedName>
    <definedName name="SORTIES_FRAIS_PEE_AMUNDI" localSheetId="0">'2023'!#REF!</definedName>
    <definedName name="SORTIES_FRAIS_PEE_AMUNDI" localSheetId="1">'2024'!#REF!</definedName>
    <definedName name="SORTIES_FRAIS_PEE_AMUNDI">#REF!</definedName>
    <definedName name="SORTIES_INTERESSEMENT" localSheetId="0">'2023'!#REF!</definedName>
    <definedName name="SORTIES_INTERESSEMENT" localSheetId="1">'2024'!#REF!</definedName>
    <definedName name="SORTIES_INTERESSEMENT">#REF!</definedName>
    <definedName name="SORTIES_SALAIRE_NET" localSheetId="0">'2023'!$B$22</definedName>
    <definedName name="SORTIES_SALAIRE_NET" localSheetId="1">'2024'!$B$22</definedName>
    <definedName name="SORTIES_SALAIRE_NET">#REF!</definedName>
    <definedName name="TOTAL" localSheetId="0">'2023'!$P$3</definedName>
    <definedName name="TOTAL" localSheetId="1">'2024'!$P$3</definedName>
    <definedName name="TOTAL">#REF!</definedName>
    <definedName name="TOTAL_ENTREES" localSheetId="0">'2023'!$B$19</definedName>
    <definedName name="TOTAL_ENTREES" localSheetId="1">'2024'!$B$19</definedName>
    <definedName name="TOTAL_ENTREES">#REF!</definedName>
    <definedName name="TOTAL_SORTIES" localSheetId="0">'2023'!$B$26</definedName>
    <definedName name="TOTAL_SORTIES" localSheetId="1">'2024'!$B$26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L30" i="15" l="1"/>
  <c r="G30" i="15"/>
  <c r="P28" i="15"/>
  <c r="N26" i="15"/>
  <c r="M26" i="15"/>
  <c r="L26" i="15"/>
  <c r="K26" i="15"/>
  <c r="I26" i="15"/>
  <c r="H26" i="15"/>
  <c r="G26" i="15"/>
  <c r="P25" i="15"/>
  <c r="P24" i="15"/>
  <c r="J23" i="15"/>
  <c r="J26" i="15" s="1"/>
  <c r="I23" i="15"/>
  <c r="H23" i="15"/>
  <c r="G23" i="15"/>
  <c r="F23" i="15"/>
  <c r="F26" i="15" s="1"/>
  <c r="E23" i="15"/>
  <c r="E26" i="15" s="1"/>
  <c r="D23" i="15"/>
  <c r="D26" i="15" s="1"/>
  <c r="C23" i="15"/>
  <c r="C26" i="15" s="1"/>
  <c r="P22" i="15"/>
  <c r="N19" i="15"/>
  <c r="N30" i="15" s="1"/>
  <c r="M19" i="15"/>
  <c r="M30" i="15" s="1"/>
  <c r="L19" i="15"/>
  <c r="K19" i="15"/>
  <c r="K30" i="15" s="1"/>
  <c r="J19" i="15"/>
  <c r="J30" i="15" s="1"/>
  <c r="I19" i="15"/>
  <c r="I30" i="15" s="1"/>
  <c r="G19" i="15"/>
  <c r="F19" i="15"/>
  <c r="F30" i="15" s="1"/>
  <c r="P18" i="15"/>
  <c r="J17" i="15"/>
  <c r="I17" i="15"/>
  <c r="H17" i="15"/>
  <c r="H19" i="15" s="1"/>
  <c r="H30" i="15" s="1"/>
  <c r="G17" i="15"/>
  <c r="F17" i="15"/>
  <c r="E17" i="15"/>
  <c r="E19" i="15" s="1"/>
  <c r="D17" i="15"/>
  <c r="D19" i="15" s="1"/>
  <c r="D30" i="15" s="1"/>
  <c r="C17" i="15"/>
  <c r="C19" i="15" s="1"/>
  <c r="P14" i="15"/>
  <c r="P13" i="15"/>
  <c r="P12" i="15"/>
  <c r="C4" i="13" s="1"/>
  <c r="P11" i="15"/>
  <c r="N8" i="15"/>
  <c r="M8" i="15"/>
  <c r="L8" i="15"/>
  <c r="K8" i="15"/>
  <c r="J8" i="15"/>
  <c r="I8" i="15"/>
  <c r="H8" i="15"/>
  <c r="G8" i="15"/>
  <c r="F8" i="15"/>
  <c r="E8" i="15"/>
  <c r="D8" i="15"/>
  <c r="P8" i="15" s="1"/>
  <c r="C8" i="15"/>
  <c r="P7" i="15"/>
  <c r="P6" i="15"/>
  <c r="K30" i="14"/>
  <c r="C30" i="14"/>
  <c r="P28" i="14"/>
  <c r="N26" i="14"/>
  <c r="M26" i="14"/>
  <c r="K26" i="14"/>
  <c r="J26" i="14"/>
  <c r="I26" i="14"/>
  <c r="G26" i="14"/>
  <c r="F26" i="14"/>
  <c r="E26" i="14"/>
  <c r="C26" i="14"/>
  <c r="P25" i="14"/>
  <c r="P24" i="14"/>
  <c r="N23" i="14"/>
  <c r="M23" i="14"/>
  <c r="L23" i="14"/>
  <c r="L26" i="14" s="1"/>
  <c r="K23" i="14"/>
  <c r="J23" i="14"/>
  <c r="I23" i="14"/>
  <c r="H23" i="14"/>
  <c r="H26" i="14" s="1"/>
  <c r="G23" i="14"/>
  <c r="F23" i="14"/>
  <c r="E23" i="14"/>
  <c r="D23" i="14"/>
  <c r="D26" i="14" s="1"/>
  <c r="C23" i="14"/>
  <c r="P23" i="14" s="1"/>
  <c r="P22" i="14"/>
  <c r="N19" i="14"/>
  <c r="N30" i="14" s="1"/>
  <c r="K19" i="14"/>
  <c r="J19" i="14"/>
  <c r="J30" i="14" s="1"/>
  <c r="I19" i="14"/>
  <c r="I30" i="14" s="1"/>
  <c r="H19" i="14"/>
  <c r="G19" i="14"/>
  <c r="G30" i="14" s="1"/>
  <c r="F19" i="14"/>
  <c r="F30" i="14" s="1"/>
  <c r="C19" i="14"/>
  <c r="P18" i="14"/>
  <c r="N17" i="14"/>
  <c r="M17" i="14"/>
  <c r="M19" i="14" s="1"/>
  <c r="M30" i="14" s="1"/>
  <c r="L17" i="14"/>
  <c r="L19" i="14" s="1"/>
  <c r="K17" i="14"/>
  <c r="J17" i="14"/>
  <c r="I17" i="14"/>
  <c r="H17" i="14"/>
  <c r="G17" i="14"/>
  <c r="F17" i="14"/>
  <c r="E17" i="14"/>
  <c r="E19" i="14" s="1"/>
  <c r="E30" i="14" s="1"/>
  <c r="D17" i="14"/>
  <c r="D19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P8" i="14" s="1"/>
  <c r="D8" i="14"/>
  <c r="C8" i="14"/>
  <c r="P7" i="14"/>
  <c r="P6" i="14"/>
  <c r="L30" i="14" l="1"/>
  <c r="P30" i="14" s="1"/>
  <c r="H30" i="14"/>
  <c r="D30" i="14"/>
  <c r="P19" i="14"/>
  <c r="P19" i="15"/>
  <c r="C30" i="15"/>
  <c r="P26" i="14"/>
  <c r="E30" i="15"/>
  <c r="P26" i="15"/>
  <c r="P23" i="15"/>
  <c r="P17" i="14"/>
  <c r="P17" i="15"/>
  <c r="P30" i="15" l="1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Sadok</author>
    <author>PC-HOUDA</author>
  </authors>
  <commentList>
    <comment ref="C1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E1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G18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Sadok:</t>
        </r>
        <r>
          <rPr>
            <sz val="9"/>
            <color indexed="81"/>
            <rFont val="Tahoma"/>
            <family val="2"/>
          </rPr>
          <t xml:space="preserve">
dans sa cagnotte</t>
        </r>
      </text>
    </comment>
    <comment ref="J18" authorId="1" shapeId="0" xr:uid="{FDA6274E-E461-4E41-8019-73B601DB497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8" authorId="1" shapeId="0" xr:uid="{F7D09529-BC0C-4FE2-92F6-740E98B42867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D24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  <comment ref="K24" authorId="1" shapeId="0" xr:uid="{350E20E5-132C-4F9F-9A00-B6760C14153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 rembourser du salaire a partit d'octobre 1000/mois 
</t>
        </r>
      </text>
    </comment>
    <comment ref="F28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Acompte a rembourser du salaire a partir d'Avril 1000 euros par Mois sur 6 mois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F24" authorId="0" shapeId="0" xr:uid="{CEDEBA33-F021-47CD-A255-AF2481EA6175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Acompte a remboursé du salaire à partir du Mai 1500E/ mois</t>
        </r>
      </text>
    </comment>
  </commentList>
</comments>
</file>

<file path=xl/sharedStrings.xml><?xml version="1.0" encoding="utf-8"?>
<sst xmlns="http://schemas.openxmlformats.org/spreadsheetml/2006/main" count="79" uniqueCount="42">
  <si>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</si>
  <si>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</si>
  <si>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</si>
  <si>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</si>
  <si>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</si>
  <si>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</si>
  <si>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</si>
  <si>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</si>
  <si>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</si>
  <si>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</si>
  <si>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</si>
  <si>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</si>
  <si>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</si>
  <si>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</si>
  <si>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</si>
  <si>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</si>
  <si>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</si>
  <si>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</si>
  <si>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</si>
  <si>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</si>
  <si>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</si>
  <si>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</si>
  <si>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</si>
  <si>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</si>
  <si>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</si>
  <si>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</si>
  <si>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</si>
  <si>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</si>
  <si>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</si>
  <si>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</si>
  <si>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</si>
  <si>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</si>
  <si>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</si>
  <si>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</si>
  <si>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</si>
  <si>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</si>
  <si>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</si>
  <si>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</si>
  <si>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(Janvier 2023)</t>
  </si>
  <si>
    <t>Acompte remboursé</t>
  </si>
  <si>
    <t>Acompte versé</t>
  </si>
  <si>
    <t>Frais Achat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</si>
</sst>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3" xfId="0" applyFont="1" applyFill="1" applyBorder="1"/>
    <xf numFmtId="0" fontId="1" fillId="3" borderId="5" xfId="0" applyFont="1" applyFill="1" applyBorder="1"/>
    <xf numFmtId="0" fontId="0" fillId="0" borderId="4" xfId="0" applyBorder="1" applyProtection="1">
      <protection locked="0"/>
    </xf>
    <xf numFmtId="4" fontId="4" fillId="4" borderId="4" xfId="0" applyNumberFormat="1" applyFont="1" applyFill="1" applyBorder="1"/>
    <xf numFmtId="0" fontId="0" fillId="0" borderId="8" xfId="0" applyBorder="1"/>
    <xf numFmtId="0" fontId="0" fillId="0" borderId="4" xfId="0" applyBorder="1"/>
    <xf numFmtId="0" fontId="1" fillId="6" borderId="1" xfId="0" applyFont="1" applyFill="1" applyBorder="1" applyAlignment="1">
      <alignment horizontal="center" vertical="center"/>
    </xf>
    <xf numFmtId="0" fontId="1" fillId="7" borderId="3" xfId="0" applyFont="1" applyFill="1" applyBorder="1"/>
    <xf numFmtId="0" fontId="1" fillId="0" borderId="2" xfId="0" applyFont="1" applyBorder="1" applyAlignment="1">
      <alignment horizontal="center" vertical="center"/>
    </xf>
    <xf numFmtId="0" fontId="1" fillId="8" borderId="3" xfId="0" applyFont="1" applyFill="1" applyBorder="1"/>
    <xf numFmtId="0" fontId="0" fillId="0" borderId="9" xfId="0" applyBorder="1" applyProtection="1">
      <protection locked="0"/>
    </xf>
    <xf numFmtId="0" fontId="0" fillId="8" borderId="7" xfId="0" applyFill="1" applyBorder="1"/>
    <xf numFmtId="4" fontId="4" fillId="4" borderId="6" xfId="0" applyNumberFormat="1" applyFont="1" applyFill="1" applyBorder="1"/>
    <xf numFmtId="0" fontId="0" fillId="7" borderId="7" xfId="0" applyFill="1" applyBorder="1"/>
    <xf numFmtId="0" fontId="0" fillId="0" borderId="9" xfId="0" applyBorder="1"/>
    <xf numFmtId="0" fontId="0" fillId="0" borderId="2" xfId="0" applyBorder="1"/>
    <xf numFmtId="0" fontId="0" fillId="2" borderId="7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3" xfId="0" applyFont="1" applyFill="1" applyBorder="1"/>
    <xf numFmtId="0" fontId="0" fillId="0" borderId="2" xfId="0" applyBorder="1" applyProtection="1">
      <protection locked="0"/>
    </xf>
    <xf numFmtId="4" fontId="0" fillId="3" borderId="7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1" fillId="0" borderId="0" xfId="0" applyNumberFormat="1" applyFont="1"/>
    <xf numFmtId="1" fontId="4" fillId="4" borderId="9" xfId="0" applyNumberFormat="1" applyFont="1" applyFill="1" applyBorder="1"/>
    <xf numFmtId="1" fontId="4" fillId="0" borderId="4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4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4" fontId="1" fillId="3" borderId="1" xfId="0" applyNumberFormat="1" applyFont="1" applyFill="1" applyBorder="1" applyAlignment="1">
      <alignment horizontal="center" vertical="center"/>
    </xf>
    <xf numFmtId="0" fontId="0" fillId="0" borderId="10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0" fontId="0" fillId="8" borderId="2" xfId="0" applyFill="1" applyBorder="1"/>
    <xf numFmtId="1" fontId="4" fillId="4" borderId="4" xfId="0" applyNumberFormat="1" applyFont="1" applyFill="1" applyBorder="1"/>
    <xf numFmtId="0" fontId="0" fillId="7" borderId="2" xfId="0" applyFill="1" applyBorder="1"/>
    <xf numFmtId="0" fontId="0" fillId="2" borderId="2" xfId="0" applyFill="1" applyBorder="1"/>
    <xf numFmtId="4" fontId="0" fillId="3" borderId="2" xfId="0" applyNumberFormat="1" applyFill="1" applyBorder="1"/>
    <xf numFmtId="0" fontId="0" fillId="0" borderId="11" xfId="0" applyBorder="1" applyProtection="1">
      <protection locked="0"/>
    </xf>
    <xf numFmtId="4" fontId="4" fillId="4" borderId="11" xfId="0" applyNumberFormat="1" applyFont="1" applyFill="1" applyBorder="1"/>
    <xf numFmtId="0" fontId="1" fillId="11" borderId="5" xfId="0" applyFont="1" applyFill="1" applyBorder="1"/>
    <xf numFmtId="4" fontId="1" fillId="11" borderId="1" xfId="0" applyNumberFormat="1" applyFont="1" applyFill="1" applyBorder="1"/>
    <xf numFmtId="4" fontId="4" fillId="12" borderId="4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0"/>
  <sheetViews>
    <sheetView workbookViewId="0">
      <selection activeCell="C26" sqref="C26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>
        <v>19</v>
      </c>
      <c r="L6" s="33">
        <v>19</v>
      </c>
      <c r="M6" s="33">
        <v>19</v>
      </c>
      <c r="N6" s="33">
        <v>9</v>
      </c>
      <c r="O6" s="31"/>
      <c r="P6" s="52">
        <f>SUM(C6:N6)</f>
        <v>218</v>
      </c>
    </row>
    <row r="7" spans="2:16" x14ac:dyDescent="0.3">
      <c r="B7" s="8" t="s">
        <v>20</v>
      </c>
      <c r="C7" s="33">
        <v>20</v>
      </c>
      <c r="D7" s="33">
        <v>20</v>
      </c>
      <c r="E7" s="33">
        <v>23</v>
      </c>
      <c r="F7" s="33">
        <v>16</v>
      </c>
      <c r="G7" s="33">
        <v>17</v>
      </c>
      <c r="H7" s="33">
        <v>22</v>
      </c>
      <c r="I7" s="33">
        <v>12</v>
      </c>
      <c r="J7" s="33">
        <v>8</v>
      </c>
      <c r="K7" s="33">
        <v>21</v>
      </c>
      <c r="L7" s="33">
        <v>20</v>
      </c>
      <c r="M7" s="33">
        <v>19</v>
      </c>
      <c r="N7" s="33">
        <v>23</v>
      </c>
      <c r="O7" s="31"/>
      <c r="P7" s="52">
        <f>SUM(C7:N7)</f>
        <v>221</v>
      </c>
    </row>
    <row r="8" spans="2:16" x14ac:dyDescent="0.3">
      <c r="B8" s="16" t="s">
        <v>21</v>
      </c>
      <c r="C8" s="32">
        <f t="shared" ref="C8:N8" si="0">C7-C6</f>
        <v>1</v>
      </c>
      <c r="D8" s="32">
        <f t="shared" si="0"/>
        <v>1</v>
      </c>
      <c r="E8" s="32">
        <f t="shared" si="0"/>
        <v>4</v>
      </c>
      <c r="F8" s="32">
        <f t="shared" si="0"/>
        <v>-3</v>
      </c>
      <c r="G8" s="32">
        <f t="shared" si="0"/>
        <v>-2</v>
      </c>
      <c r="H8" s="32">
        <f t="shared" si="0"/>
        <v>3</v>
      </c>
      <c r="I8" s="32">
        <f t="shared" si="0"/>
        <v>-7</v>
      </c>
      <c r="J8" s="32">
        <f t="shared" si="0"/>
        <v>-11</v>
      </c>
      <c r="K8" s="32">
        <f t="shared" si="0"/>
        <v>2</v>
      </c>
      <c r="L8" s="32">
        <f t="shared" si="0"/>
        <v>1</v>
      </c>
      <c r="M8" s="32">
        <f t="shared" si="0"/>
        <v>0</v>
      </c>
      <c r="N8" s="32">
        <f t="shared" si="0"/>
        <v>14</v>
      </c>
      <c r="O8" s="31"/>
      <c r="P8" s="52">
        <f>SUM(C8:N8)</f>
        <v>3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20</v>
      </c>
      <c r="D11" s="10">
        <v>20</v>
      </c>
      <c r="E11" s="10">
        <v>23</v>
      </c>
      <c r="F11" s="10">
        <v>16</v>
      </c>
      <c r="G11" s="10">
        <v>17</v>
      </c>
      <c r="H11" s="10">
        <v>22</v>
      </c>
      <c r="I11" s="10">
        <v>12</v>
      </c>
      <c r="J11" s="10">
        <v>8</v>
      </c>
      <c r="K11" s="10">
        <v>21</v>
      </c>
      <c r="L11" s="10">
        <v>20</v>
      </c>
      <c r="M11" s="10">
        <v>19</v>
      </c>
      <c r="N11" s="10">
        <v>23</v>
      </c>
      <c r="P11" s="53">
        <f>SUM(C11:N11)</f>
        <v>221</v>
      </c>
    </row>
    <row r="12" spans="2:16" x14ac:dyDescent="0.3">
      <c r="B12" s="8" t="s">
        <v>15</v>
      </c>
      <c r="C12" s="11">
        <v>2</v>
      </c>
      <c r="D12" s="11"/>
      <c r="E12" s="11"/>
      <c r="F12" s="11">
        <v>3</v>
      </c>
      <c r="G12" s="11">
        <v>2</v>
      </c>
      <c r="H12" s="11"/>
      <c r="I12" s="11">
        <v>8</v>
      </c>
      <c r="J12" s="11">
        <v>14</v>
      </c>
      <c r="K12" s="11"/>
      <c r="L12" s="11">
        <v>2</v>
      </c>
      <c r="M12" s="11">
        <v>2</v>
      </c>
      <c r="N12" s="11"/>
      <c r="P12" s="53">
        <f>SUM(C12:N12)</f>
        <v>33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>
        <v>4</v>
      </c>
      <c r="K14" s="20">
        <v>3</v>
      </c>
      <c r="L14" s="20"/>
      <c r="M14" s="20">
        <v>4</v>
      </c>
      <c r="N14" s="20">
        <v>3</v>
      </c>
      <c r="P14" s="53">
        <f>SUM(C14:N14)</f>
        <v>35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11885</v>
      </c>
      <c r="D17" s="9">
        <f>D11*Params!$C$5*(1-Params!$C$3)-Params!$C$4</f>
        <v>11885</v>
      </c>
      <c r="E17" s="9">
        <f>E11*Params!$C$5*(1-Params!$C$3)-Params!$C$4</f>
        <v>13679</v>
      </c>
      <c r="F17" s="9">
        <f>F11*Params!$C$5*(1-Params!$C$3)-Params!$C$4</f>
        <v>9493</v>
      </c>
      <c r="G17" s="9">
        <f>G11*Params!$C$5*(1-Params!$C$3)-Params!$C$4</f>
        <v>10091</v>
      </c>
      <c r="H17" s="9">
        <f>H11*Params!$C$5*(1-Params!$C$3)-Params!$C$4</f>
        <v>13081</v>
      </c>
      <c r="I17" s="9">
        <f>I11*Params!$C$5*(1-Params!$C$3)-Params!$C$4</f>
        <v>7101</v>
      </c>
      <c r="J17" s="9">
        <f>J11*Params!$C$5*(1-Params!$C$3)-Params!$C$4</f>
        <v>4709</v>
      </c>
      <c r="K17" s="9">
        <f>K11*Params!$C$5*(1-Params!$C$3)-Params!$C$4</f>
        <v>12483</v>
      </c>
      <c r="L17" s="9">
        <f>L11*Params!$C$5*(1-Params!$C$3)-Params!$C$4</f>
        <v>11885</v>
      </c>
      <c r="M17" s="9">
        <f>M11*Params!$C$5*(1-Params!$C$3)-Params!$C$4</f>
        <v>11287</v>
      </c>
      <c r="N17" s="9">
        <f>N11*Params!$C$5*(1-Params!$C$3)-Params!$C$4</f>
        <v>13679</v>
      </c>
      <c r="O17" s="4"/>
      <c r="P17" s="37">
        <f>SUM(C17:N17)</f>
        <v>131258</v>
      </c>
    </row>
    <row r="18" spans="2:16" x14ac:dyDescent="0.3">
      <c r="B18" s="8" t="s">
        <v>14</v>
      </c>
      <c r="C18" s="9">
        <v>819</v>
      </c>
      <c r="D18" s="9"/>
      <c r="E18" s="9">
        <v>1376</v>
      </c>
      <c r="F18" s="9"/>
      <c r="G18" s="9">
        <v>1608</v>
      </c>
      <c r="H18" s="9"/>
      <c r="I18" s="9"/>
      <c r="J18" s="9">
        <v>819</v>
      </c>
      <c r="K18" s="9"/>
      <c r="L18" s="9"/>
      <c r="M18" s="9">
        <v>1097</v>
      </c>
      <c r="N18" s="9"/>
      <c r="O18" s="4"/>
      <c r="P18" s="37">
        <f>SUM(C18:N18)</f>
        <v>5719</v>
      </c>
    </row>
    <row r="19" spans="2:16" x14ac:dyDescent="0.3">
      <c r="B19" s="24" t="s">
        <v>2</v>
      </c>
      <c r="C19" s="25">
        <f t="shared" ref="C19:N19" si="1">SUM(C17:C18)</f>
        <v>12704</v>
      </c>
      <c r="D19" s="25">
        <f t="shared" si="1"/>
        <v>11885</v>
      </c>
      <c r="E19" s="25">
        <f t="shared" si="1"/>
        <v>15055</v>
      </c>
      <c r="F19" s="25">
        <f t="shared" si="1"/>
        <v>9493</v>
      </c>
      <c r="G19" s="25">
        <f t="shared" si="1"/>
        <v>11699</v>
      </c>
      <c r="H19" s="25">
        <f t="shared" si="1"/>
        <v>13081</v>
      </c>
      <c r="I19" s="25">
        <f t="shared" si="1"/>
        <v>7101</v>
      </c>
      <c r="J19" s="25">
        <f t="shared" si="1"/>
        <v>5528</v>
      </c>
      <c r="K19" s="25">
        <f t="shared" si="1"/>
        <v>12483</v>
      </c>
      <c r="L19" s="25">
        <f t="shared" si="1"/>
        <v>11885</v>
      </c>
      <c r="M19" s="25">
        <f t="shared" si="1"/>
        <v>12384</v>
      </c>
      <c r="N19" s="25">
        <f t="shared" si="1"/>
        <v>13679</v>
      </c>
      <c r="O19" s="5"/>
      <c r="P19" s="38">
        <f>SUM(C19:N19)</f>
        <v>136977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7109.12</v>
      </c>
      <c r="D22" s="9">
        <v>7108</v>
      </c>
      <c r="E22" s="9">
        <v>7108</v>
      </c>
      <c r="F22" s="9">
        <v>6108</v>
      </c>
      <c r="G22" s="9">
        <v>6108</v>
      </c>
      <c r="H22" s="9">
        <v>6108</v>
      </c>
      <c r="I22" s="9">
        <v>6108</v>
      </c>
      <c r="J22" s="9">
        <v>6108</v>
      </c>
      <c r="K22" s="9">
        <v>6108</v>
      </c>
      <c r="L22" s="9">
        <v>6108</v>
      </c>
      <c r="M22" s="9">
        <v>6108</v>
      </c>
      <c r="N22" s="9">
        <v>6001.56</v>
      </c>
      <c r="O22" s="4"/>
      <c r="P22" s="39">
        <f>SUM(C22:N22)</f>
        <v>76190.679999999993</v>
      </c>
    </row>
    <row r="23" spans="2:16" x14ac:dyDescent="0.3">
      <c r="B23" s="8" t="s">
        <v>8</v>
      </c>
      <c r="C23" s="9">
        <f>1382.95+2783.86</f>
        <v>4166.8100000000004</v>
      </c>
      <c r="D23" s="9">
        <f>1384.07+2789.67</f>
        <v>4173.74</v>
      </c>
      <c r="E23" s="9">
        <f>1384.07+2784.42</f>
        <v>4168.49</v>
      </c>
      <c r="F23" s="9">
        <f>1384.07+2784.42</f>
        <v>4168.49</v>
      </c>
      <c r="G23" s="9">
        <f>1384.07+2795.72</f>
        <v>4179.79</v>
      </c>
      <c r="H23" s="9">
        <f>1384.07+2791.37</f>
        <v>4175.4399999999996</v>
      </c>
      <c r="I23" s="9">
        <f>1384.07+2786.12</f>
        <v>4170.1899999999996</v>
      </c>
      <c r="J23" s="9">
        <f>1384.07+2807.16</f>
        <v>4191.2299999999996</v>
      </c>
      <c r="K23" s="9">
        <f>1384.07+2822.94</f>
        <v>4207.01</v>
      </c>
      <c r="L23" s="9">
        <f>1384.07+2786.12</f>
        <v>4170.1899999999996</v>
      </c>
      <c r="M23" s="9">
        <f>1384.07+2791.37</f>
        <v>4175.4399999999996</v>
      </c>
      <c r="N23" s="9">
        <f>1371.71+2750.91</f>
        <v>4122.62</v>
      </c>
      <c r="O23" s="4"/>
      <c r="P23" s="39">
        <f>SUM(C23:N23)</f>
        <v>50069.440000000002</v>
      </c>
    </row>
    <row r="24" spans="2:16" x14ac:dyDescent="0.3">
      <c r="B24" s="60" t="s">
        <v>40</v>
      </c>
      <c r="C24" s="9"/>
      <c r="D24" s="64">
        <v>6000</v>
      </c>
      <c r="E24" s="9"/>
      <c r="F24" s="9"/>
      <c r="G24" s="9"/>
      <c r="H24" s="9"/>
      <c r="I24" s="9"/>
      <c r="J24" s="9"/>
      <c r="K24" s="64">
        <v>4000</v>
      </c>
      <c r="L24" s="9"/>
      <c r="M24" s="9"/>
      <c r="N24" s="9"/>
      <c r="O24" s="4"/>
      <c r="P24" s="39">
        <f>SUM(C24:N24)</f>
        <v>10000</v>
      </c>
    </row>
    <row r="25" spans="2:16" x14ac:dyDescent="0.3">
      <c r="B25" s="60" t="s">
        <v>41</v>
      </c>
      <c r="C25" s="61"/>
      <c r="D25" s="61"/>
      <c r="E25" s="61"/>
      <c r="F25" s="61"/>
      <c r="G25" s="61"/>
      <c r="H25" s="61">
        <v>1232.5</v>
      </c>
      <c r="I25" s="61"/>
      <c r="J25" s="61"/>
      <c r="K25" s="61"/>
      <c r="L25" s="61"/>
      <c r="M25" s="61"/>
      <c r="N25" s="61"/>
      <c r="O25" s="4"/>
      <c r="P25" s="39">
        <f>SUM(C25:N25)</f>
        <v>1232.5</v>
      </c>
    </row>
    <row r="26" spans="2:16" x14ac:dyDescent="0.3">
      <c r="B26" s="7" t="s">
        <v>3</v>
      </c>
      <c r="C26" s="40">
        <f t="shared" ref="C26:N26" si="2">SUM(C22:C25)</f>
        <v>11275.93</v>
      </c>
      <c r="D26" s="40">
        <f t="shared" si="2"/>
        <v>17281.739999999998</v>
      </c>
      <c r="E26" s="40">
        <f t="shared" si="2"/>
        <v>11276.49</v>
      </c>
      <c r="F26" s="40">
        <f t="shared" si="2"/>
        <v>10276.49</v>
      </c>
      <c r="G26" s="40">
        <f t="shared" si="2"/>
        <v>10287.790000000001</v>
      </c>
      <c r="H26" s="40">
        <f t="shared" si="2"/>
        <v>11515.939999999999</v>
      </c>
      <c r="I26" s="40">
        <f t="shared" si="2"/>
        <v>10278.189999999999</v>
      </c>
      <c r="J26" s="40">
        <f t="shared" si="2"/>
        <v>10299.23</v>
      </c>
      <c r="K26" s="40">
        <f t="shared" si="2"/>
        <v>14315.01</v>
      </c>
      <c r="L26" s="40">
        <f t="shared" si="2"/>
        <v>10278.189999999999</v>
      </c>
      <c r="M26" s="40">
        <f t="shared" si="2"/>
        <v>10283.439999999999</v>
      </c>
      <c r="N26" s="40">
        <f t="shared" si="2"/>
        <v>10124.18</v>
      </c>
      <c r="O26" s="4"/>
      <c r="P26" s="41">
        <f>SUM(C26:N26)</f>
        <v>137492.62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62" t="s">
        <v>39</v>
      </c>
      <c r="C28" s="63"/>
      <c r="D28" s="63"/>
      <c r="E28" s="63"/>
      <c r="F28" s="63">
        <v>1000</v>
      </c>
      <c r="G28" s="63">
        <v>1000</v>
      </c>
      <c r="H28" s="63">
        <v>1000</v>
      </c>
      <c r="I28" s="63">
        <v>1000</v>
      </c>
      <c r="J28" s="63">
        <v>1000</v>
      </c>
      <c r="K28" s="63">
        <v>1000</v>
      </c>
      <c r="L28" s="63">
        <v>1000</v>
      </c>
      <c r="M28" s="63">
        <v>1000</v>
      </c>
      <c r="N28" s="63">
        <v>1000</v>
      </c>
      <c r="O28" s="5"/>
      <c r="P28" s="63">
        <f>SUM(C28:N28)</f>
        <v>9000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C19-C26</f>
        <v>1428.0699999999997</v>
      </c>
      <c r="D30" s="44">
        <f t="shared" si="3"/>
        <v>-5396.739999999998</v>
      </c>
      <c r="E30" s="44">
        <f t="shared" si="3"/>
        <v>3778.51</v>
      </c>
      <c r="F30" s="44">
        <f t="shared" si="3"/>
        <v>-783.48999999999978</v>
      </c>
      <c r="G30" s="44">
        <f t="shared" si="3"/>
        <v>1411.2099999999991</v>
      </c>
      <c r="H30" s="44">
        <f t="shared" si="3"/>
        <v>1565.0600000000013</v>
      </c>
      <c r="I30" s="44">
        <f t="shared" si="3"/>
        <v>-3177.1899999999987</v>
      </c>
      <c r="J30" s="44">
        <f t="shared" si="3"/>
        <v>-4771.2299999999996</v>
      </c>
      <c r="K30" s="44">
        <f t="shared" si="3"/>
        <v>-1832.0100000000002</v>
      </c>
      <c r="L30" s="44">
        <f t="shared" si="3"/>
        <v>1606.8100000000013</v>
      </c>
      <c r="M30" s="44">
        <f t="shared" si="3"/>
        <v>2100.5600000000013</v>
      </c>
      <c r="N30" s="44">
        <f t="shared" si="3"/>
        <v>3554.8199999999997</v>
      </c>
      <c r="P30" s="54">
        <f>SUM(C30:N30)</f>
        <v>-515.61999999999352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FEE24-36EA-4D59-8A02-63B45793F03A}">
  <dimension ref="B1:P30"/>
  <sheetViews>
    <sheetView tabSelected="1" workbookViewId="0">
      <selection activeCell="J24" sqref="J24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0" style="45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2" t="s">
        <v>5</v>
      </c>
      <c r="C3" s="12" t="s">
        <v>27</v>
      </c>
      <c r="D3" s="12" t="s">
        <v>28</v>
      </c>
      <c r="E3" s="12" t="s">
        <v>29</v>
      </c>
      <c r="F3" s="12" t="s">
        <v>30</v>
      </c>
      <c r="G3" s="12" t="s">
        <v>31</v>
      </c>
      <c r="H3" s="12" t="s">
        <v>32</v>
      </c>
      <c r="I3" s="12" t="s">
        <v>33</v>
      </c>
      <c r="J3" s="12" t="s">
        <v>34</v>
      </c>
      <c r="K3" s="12" t="s">
        <v>35</v>
      </c>
      <c r="L3" s="12" t="s">
        <v>36</v>
      </c>
      <c r="M3" s="12" t="s">
        <v>37</v>
      </c>
      <c r="N3" s="12" t="s">
        <v>10</v>
      </c>
      <c r="O3" s="1"/>
      <c r="P3" s="12" t="s">
        <v>4</v>
      </c>
    </row>
    <row r="4" spans="2:16" x14ac:dyDescent="0.3">
      <c r="B4" s="27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"/>
      <c r="P4" s="51"/>
    </row>
    <row r="5" spans="2:16" x14ac:dyDescent="0.3">
      <c r="B5" s="15" t="s">
        <v>18</v>
      </c>
      <c r="C5" s="55"/>
      <c r="D5" s="55"/>
      <c r="E5" s="55"/>
      <c r="F5" s="17"/>
      <c r="G5" s="55"/>
      <c r="H5" s="17"/>
      <c r="I5" s="55"/>
      <c r="J5" s="17"/>
      <c r="K5" s="55"/>
      <c r="L5" s="17"/>
      <c r="M5" s="55"/>
      <c r="N5" s="17"/>
      <c r="O5" s="1"/>
      <c r="P5" s="46"/>
    </row>
    <row r="6" spans="2:16" x14ac:dyDescent="0.3">
      <c r="B6" s="8" t="s">
        <v>19</v>
      </c>
      <c r="C6" s="56">
        <v>19</v>
      </c>
      <c r="D6" s="56">
        <v>19</v>
      </c>
      <c r="E6" s="56">
        <v>19</v>
      </c>
      <c r="F6" s="33">
        <v>19</v>
      </c>
      <c r="G6" s="33">
        <v>19</v>
      </c>
      <c r="H6" s="33">
        <v>19</v>
      </c>
      <c r="I6" s="33">
        <v>19</v>
      </c>
      <c r="J6" s="33">
        <v>19</v>
      </c>
      <c r="K6" s="33"/>
      <c r="L6" s="33"/>
      <c r="M6" s="33"/>
      <c r="N6" s="33"/>
      <c r="O6" s="31"/>
      <c r="P6" s="52">
        <f>SUM(C6:N6)</f>
        <v>152</v>
      </c>
    </row>
    <row r="7" spans="2:16" x14ac:dyDescent="0.3">
      <c r="B7" s="8" t="s">
        <v>20</v>
      </c>
      <c r="C7" s="33">
        <v>22</v>
      </c>
      <c r="D7" s="33">
        <v>21</v>
      </c>
      <c r="E7" s="33">
        <v>21</v>
      </c>
      <c r="F7" s="33">
        <v>20</v>
      </c>
      <c r="G7" s="33">
        <v>18</v>
      </c>
      <c r="H7" s="33">
        <v>19</v>
      </c>
      <c r="I7" s="33">
        <v>22</v>
      </c>
      <c r="J7" s="33">
        <v>10</v>
      </c>
      <c r="K7" s="33"/>
      <c r="L7" s="33"/>
      <c r="M7" s="33"/>
      <c r="N7" s="33"/>
      <c r="O7" s="31"/>
      <c r="P7" s="52">
        <f>SUM(C7:N7)</f>
        <v>153</v>
      </c>
    </row>
    <row r="8" spans="2:16" x14ac:dyDescent="0.3">
      <c r="B8" s="16" t="s">
        <v>21</v>
      </c>
      <c r="C8" s="32">
        <f t="shared" ref="C8:N8" si="0">C7-C6</f>
        <v>3</v>
      </c>
      <c r="D8" s="32">
        <f t="shared" si="0"/>
        <v>2</v>
      </c>
      <c r="E8" s="32">
        <f t="shared" si="0"/>
        <v>2</v>
      </c>
      <c r="F8" s="32">
        <f t="shared" si="0"/>
        <v>1</v>
      </c>
      <c r="G8" s="32">
        <f t="shared" si="0"/>
        <v>-1</v>
      </c>
      <c r="H8" s="32">
        <f t="shared" si="0"/>
        <v>0</v>
      </c>
      <c r="I8" s="32">
        <f t="shared" si="0"/>
        <v>3</v>
      </c>
      <c r="J8" s="32">
        <f t="shared" si="0"/>
        <v>-9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1"/>
      <c r="P8" s="52">
        <f>SUM(C8:N8)</f>
        <v>1</v>
      </c>
    </row>
    <row r="9" spans="2:16" x14ac:dyDescent="0.3">
      <c r="B9" s="27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"/>
      <c r="P9" s="51"/>
    </row>
    <row r="10" spans="2:16" x14ac:dyDescent="0.3">
      <c r="B10" s="13" t="s">
        <v>17</v>
      </c>
      <c r="C10" s="57"/>
      <c r="D10" s="57"/>
      <c r="E10" s="57"/>
      <c r="F10" s="19"/>
      <c r="G10" s="57"/>
      <c r="H10" s="19"/>
      <c r="I10" s="57"/>
      <c r="J10" s="19"/>
      <c r="K10" s="57"/>
      <c r="L10" s="19"/>
      <c r="M10" s="57"/>
      <c r="N10" s="19"/>
      <c r="P10" s="47"/>
    </row>
    <row r="11" spans="2:16" x14ac:dyDescent="0.3">
      <c r="B11" s="8" t="s">
        <v>13</v>
      </c>
      <c r="C11" s="10">
        <v>22</v>
      </c>
      <c r="D11" s="10">
        <v>21</v>
      </c>
      <c r="E11" s="10">
        <v>21</v>
      </c>
      <c r="F11" s="10">
        <v>20.5</v>
      </c>
      <c r="G11" s="10">
        <v>18</v>
      </c>
      <c r="H11" s="10">
        <v>19</v>
      </c>
      <c r="I11" s="10">
        <v>22.5</v>
      </c>
      <c r="J11" s="10">
        <v>10</v>
      </c>
      <c r="K11" s="10"/>
      <c r="L11" s="10"/>
      <c r="M11" s="10"/>
      <c r="N11" s="10"/>
      <c r="P11" s="53">
        <f>SUM(C11:N11)</f>
        <v>154</v>
      </c>
    </row>
    <row r="12" spans="2:16" x14ac:dyDescent="0.3">
      <c r="B12" s="8" t="s">
        <v>15</v>
      </c>
      <c r="C12" s="11"/>
      <c r="D12" s="11"/>
      <c r="E12" s="11"/>
      <c r="F12" s="11">
        <v>0.5</v>
      </c>
      <c r="G12" s="11">
        <v>1</v>
      </c>
      <c r="H12" s="11">
        <v>1</v>
      </c>
      <c r="I12" s="11">
        <v>0.5</v>
      </c>
      <c r="J12" s="11">
        <v>11</v>
      </c>
      <c r="K12" s="11"/>
      <c r="L12" s="11"/>
      <c r="M12" s="11"/>
      <c r="N12" s="11"/>
      <c r="P12" s="53">
        <f>SUM(C12:N12)</f>
        <v>14</v>
      </c>
    </row>
    <row r="13" spans="2:16" x14ac:dyDescent="0.3">
      <c r="B13" s="8" t="s">
        <v>16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P13" s="53">
        <f>SUM(C13:N13)</f>
        <v>0</v>
      </c>
    </row>
    <row r="14" spans="2:16" x14ac:dyDescent="0.3">
      <c r="B14" s="16" t="s">
        <v>14</v>
      </c>
      <c r="C14" s="20">
        <v>7</v>
      </c>
      <c r="D14" s="20"/>
      <c r="E14" s="20">
        <v>7</v>
      </c>
      <c r="F14" s="20"/>
      <c r="G14" s="20">
        <v>7</v>
      </c>
      <c r="H14" s="20"/>
      <c r="I14" s="20"/>
      <c r="J14" s="20"/>
      <c r="K14" s="20"/>
      <c r="L14" s="20"/>
      <c r="M14" s="20"/>
      <c r="N14" s="20"/>
      <c r="P14" s="53">
        <f>SUM(C14:N14)</f>
        <v>21</v>
      </c>
    </row>
    <row r="15" spans="2:16" x14ac:dyDescent="0.3">
      <c r="B15" s="27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P15" s="48"/>
    </row>
    <row r="16" spans="2:16" x14ac:dyDescent="0.3">
      <c r="B16" s="6" t="s">
        <v>0</v>
      </c>
      <c r="C16" s="58"/>
      <c r="D16" s="58"/>
      <c r="E16" s="58"/>
      <c r="F16" s="22"/>
      <c r="G16" s="58"/>
      <c r="H16" s="22"/>
      <c r="I16" s="58"/>
      <c r="J16" s="22"/>
      <c r="K16" s="58"/>
      <c r="L16" s="22"/>
      <c r="M16" s="58"/>
      <c r="N16" s="22"/>
      <c r="P16" s="49"/>
    </row>
    <row r="17" spans="2:16" x14ac:dyDescent="0.3">
      <c r="B17" s="8" t="s">
        <v>6</v>
      </c>
      <c r="C17" s="9">
        <f>C11*Params!$C$5*(1-Params!$C$3)-Params!$C$4</f>
        <v>13081</v>
      </c>
      <c r="D17" s="9">
        <f>D11*Params!$C$5*(1-Params!$C$3)-Params!$C$4</f>
        <v>12483</v>
      </c>
      <c r="E17" s="9">
        <f>E11*Params!$C$5*(1-Params!$C$3)-Params!$C$4</f>
        <v>12483</v>
      </c>
      <c r="F17" s="9">
        <f>F11*Params!$C$5*(1-Params!$C$3)-Params!$C$4</f>
        <v>12184</v>
      </c>
      <c r="G17" s="9">
        <f>G11*Params!$C$5*(1-Params!$C$3)-Params!$C$4</f>
        <v>10689</v>
      </c>
      <c r="H17" s="9">
        <f>H11*Params!$C$5*(1-Params!$C$3)-Params!$C$4</f>
        <v>11287</v>
      </c>
      <c r="I17" s="9">
        <f>I11*Params!$C$5*(1-Params!$C$3)-Params!$C$4</f>
        <v>13380</v>
      </c>
      <c r="J17" s="9">
        <f>J11*Params!$C$5*(1-Params!$C$3)-Params!$C$4</f>
        <v>5905</v>
      </c>
      <c r="K17" s="9"/>
      <c r="L17" s="9"/>
      <c r="M17" s="9"/>
      <c r="N17" s="9"/>
      <c r="O17" s="4"/>
      <c r="P17" s="37">
        <f>SUM(C17:N17)</f>
        <v>91492</v>
      </c>
    </row>
    <row r="18" spans="2:16" x14ac:dyDescent="0.3">
      <c r="B18" s="8" t="s">
        <v>14</v>
      </c>
      <c r="C18" s="9">
        <v>680</v>
      </c>
      <c r="D18" s="9"/>
      <c r="E18" s="9">
        <v>819</v>
      </c>
      <c r="F18" s="9"/>
      <c r="G18" s="9">
        <v>1515</v>
      </c>
      <c r="H18" s="9"/>
      <c r="I18" s="9"/>
      <c r="J18" s="9"/>
      <c r="K18" s="9"/>
      <c r="L18" s="9"/>
      <c r="M18" s="9"/>
      <c r="N18" s="9"/>
      <c r="O18" s="4"/>
      <c r="P18" s="37">
        <f>SUM(C18:N18)</f>
        <v>3014</v>
      </c>
    </row>
    <row r="19" spans="2:16" x14ac:dyDescent="0.3">
      <c r="B19" s="24" t="s">
        <v>2</v>
      </c>
      <c r="C19" s="25">
        <f t="shared" ref="C19:N19" si="1">SUM(C17:C18)</f>
        <v>13761</v>
      </c>
      <c r="D19" s="25">
        <f t="shared" si="1"/>
        <v>12483</v>
      </c>
      <c r="E19" s="25">
        <f t="shared" si="1"/>
        <v>13302</v>
      </c>
      <c r="F19" s="25">
        <f t="shared" si="1"/>
        <v>12184</v>
      </c>
      <c r="G19" s="25">
        <f t="shared" si="1"/>
        <v>12204</v>
      </c>
      <c r="H19" s="25">
        <f t="shared" si="1"/>
        <v>11287</v>
      </c>
      <c r="I19" s="25">
        <f t="shared" si="1"/>
        <v>13380</v>
      </c>
      <c r="J19" s="25">
        <f t="shared" si="1"/>
        <v>5905</v>
      </c>
      <c r="K19" s="25">
        <f t="shared" si="1"/>
        <v>0</v>
      </c>
      <c r="L19" s="25">
        <f t="shared" si="1"/>
        <v>0</v>
      </c>
      <c r="M19" s="25">
        <f t="shared" si="1"/>
        <v>0</v>
      </c>
      <c r="N19" s="25">
        <f t="shared" si="1"/>
        <v>0</v>
      </c>
      <c r="O19" s="5"/>
      <c r="P19" s="38">
        <f>SUM(C19:N19)</f>
        <v>94506</v>
      </c>
    </row>
    <row r="20" spans="2:16" x14ac:dyDescent="0.3">
      <c r="B20" s="27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5"/>
    </row>
    <row r="21" spans="2:16" x14ac:dyDescent="0.3">
      <c r="B21" s="26" t="s">
        <v>1</v>
      </c>
      <c r="C21" s="59"/>
      <c r="D21" s="59"/>
      <c r="E21" s="59"/>
      <c r="F21" s="28"/>
      <c r="G21" s="59"/>
      <c r="H21" s="28"/>
      <c r="I21" s="59"/>
      <c r="J21" s="28"/>
      <c r="K21" s="59"/>
      <c r="L21" s="28"/>
      <c r="M21" s="59"/>
      <c r="N21" s="28"/>
      <c r="O21" s="4"/>
      <c r="P21" s="50"/>
    </row>
    <row r="22" spans="2:16" x14ac:dyDescent="0.3">
      <c r="B22" s="8" t="s">
        <v>7</v>
      </c>
      <c r="C22" s="9">
        <v>6101.27</v>
      </c>
      <c r="D22" s="9">
        <v>7101.27</v>
      </c>
      <c r="E22" s="9">
        <v>7101.27</v>
      </c>
      <c r="F22" s="9">
        <v>7101.27</v>
      </c>
      <c r="G22" s="9">
        <v>6522.44</v>
      </c>
      <c r="H22" s="9">
        <v>5601.27</v>
      </c>
      <c r="I22" s="9">
        <v>5601.27</v>
      </c>
      <c r="J22" s="9">
        <v>9041.15</v>
      </c>
      <c r="K22" s="9"/>
      <c r="L22" s="9"/>
      <c r="M22" s="9"/>
      <c r="N22" s="9"/>
      <c r="O22" s="4"/>
      <c r="P22" s="39">
        <f>SUM(C22:N22)</f>
        <v>54171.210000000014</v>
      </c>
    </row>
    <row r="23" spans="2:16" x14ac:dyDescent="0.3">
      <c r="B23" s="8" t="s">
        <v>8</v>
      </c>
      <c r="C23" s="9">
        <f>1397.65+2804.21</f>
        <v>4201.8600000000006</v>
      </c>
      <c r="D23" s="9">
        <f>1397.65+2804.21</f>
        <v>4201.8600000000006</v>
      </c>
      <c r="E23" s="9">
        <f>1397.65+2804.21</f>
        <v>4201.8600000000006</v>
      </c>
      <c r="F23" s="9">
        <f>1397.65+2804.21</f>
        <v>4201.8600000000006</v>
      </c>
      <c r="G23" s="9">
        <f>1604.48+3225.34</f>
        <v>4829.82</v>
      </c>
      <c r="H23" s="9">
        <f>1397.65+2837.57</f>
        <v>4235.22</v>
      </c>
      <c r="I23" s="9">
        <f>1397.65+2840.99</f>
        <v>4238.6399999999994</v>
      </c>
      <c r="J23" s="9">
        <f>1217.82+2493.46</f>
        <v>3711.2799999999997</v>
      </c>
      <c r="K23" s="9"/>
      <c r="L23" s="9"/>
      <c r="M23" s="9"/>
      <c r="N23" s="9"/>
      <c r="O23" s="4"/>
      <c r="P23" s="39">
        <f>SUM(C23:N23)</f>
        <v>33822.400000000001</v>
      </c>
    </row>
    <row r="24" spans="2:16" x14ac:dyDescent="0.3">
      <c r="B24" s="60" t="s">
        <v>40</v>
      </c>
      <c r="C24" s="9"/>
      <c r="D24" s="9"/>
      <c r="E24" s="9"/>
      <c r="F24" s="64">
        <v>4500</v>
      </c>
      <c r="G24" s="9"/>
      <c r="H24" s="9"/>
      <c r="I24" s="9"/>
      <c r="J24" s="9"/>
      <c r="K24" s="9"/>
      <c r="L24" s="9"/>
      <c r="M24" s="9"/>
      <c r="N24" s="9"/>
      <c r="O24" s="4"/>
      <c r="P24" s="39">
        <f>SUM(C24:N24)</f>
        <v>4500</v>
      </c>
    </row>
    <row r="25" spans="2:16" x14ac:dyDescent="0.3">
      <c r="B25" s="60" t="s">
        <v>41</v>
      </c>
      <c r="C25" s="61"/>
      <c r="D25" s="61">
        <v>1498.34</v>
      </c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4"/>
      <c r="P25" s="39">
        <f>SUM(C25:N25)</f>
        <v>1498.34</v>
      </c>
    </row>
    <row r="26" spans="2:16" x14ac:dyDescent="0.3">
      <c r="B26" s="7" t="s">
        <v>3</v>
      </c>
      <c r="C26" s="40">
        <f t="shared" ref="C26:N26" si="2">SUM(C22:C25)</f>
        <v>10303.130000000001</v>
      </c>
      <c r="D26" s="40">
        <f t="shared" si="2"/>
        <v>12801.470000000001</v>
      </c>
      <c r="E26" s="40">
        <f t="shared" si="2"/>
        <v>11303.130000000001</v>
      </c>
      <c r="F26" s="40">
        <f t="shared" si="2"/>
        <v>15803.130000000001</v>
      </c>
      <c r="G26" s="40">
        <f t="shared" si="2"/>
        <v>11352.259999999998</v>
      </c>
      <c r="H26" s="40">
        <f t="shared" si="2"/>
        <v>9836.4900000000016</v>
      </c>
      <c r="I26" s="40">
        <f t="shared" si="2"/>
        <v>9839.91</v>
      </c>
      <c r="J26" s="40">
        <f t="shared" si="2"/>
        <v>12752.43</v>
      </c>
      <c r="K26" s="40">
        <f t="shared" si="2"/>
        <v>0</v>
      </c>
      <c r="L26" s="40">
        <f t="shared" si="2"/>
        <v>0</v>
      </c>
      <c r="M26" s="40">
        <f t="shared" si="2"/>
        <v>0</v>
      </c>
      <c r="N26" s="40">
        <f t="shared" si="2"/>
        <v>0</v>
      </c>
      <c r="O26" s="4"/>
      <c r="P26" s="41">
        <f>SUM(C26:N26)</f>
        <v>93991.950000000012</v>
      </c>
    </row>
    <row r="27" spans="2:16" x14ac:dyDescent="0.3">
      <c r="B27" s="4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5"/>
    </row>
    <row r="28" spans="2:16" x14ac:dyDescent="0.3">
      <c r="B28" s="62" t="s">
        <v>39</v>
      </c>
      <c r="C28" s="63">
        <v>1000</v>
      </c>
      <c r="D28" s="63"/>
      <c r="E28" s="63"/>
      <c r="F28" s="63"/>
      <c r="G28" s="63">
        <v>1500</v>
      </c>
      <c r="H28" s="63">
        <v>1500</v>
      </c>
      <c r="I28" s="63">
        <v>1500</v>
      </c>
      <c r="J28" s="63"/>
      <c r="K28" s="63"/>
      <c r="L28" s="63"/>
      <c r="M28" s="63"/>
      <c r="N28" s="63"/>
      <c r="O28" s="5"/>
      <c r="P28" s="63">
        <f>SUM(C28:N28)</f>
        <v>5500</v>
      </c>
    </row>
    <row r="29" spans="2:16" x14ac:dyDescent="0.3">
      <c r="B29" s="42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5"/>
    </row>
    <row r="30" spans="2:16" x14ac:dyDescent="0.3">
      <c r="B30" s="43" t="s">
        <v>25</v>
      </c>
      <c r="C30" s="44">
        <f t="shared" ref="C30:N30" si="3">C19-C26</f>
        <v>3457.869999999999</v>
      </c>
      <c r="D30" s="44">
        <f t="shared" si="3"/>
        <v>-318.47000000000116</v>
      </c>
      <c r="E30" s="44">
        <f t="shared" si="3"/>
        <v>1998.869999999999</v>
      </c>
      <c r="F30" s="44">
        <f t="shared" si="3"/>
        <v>-3619.130000000001</v>
      </c>
      <c r="G30" s="44">
        <f t="shared" si="3"/>
        <v>851.7400000000016</v>
      </c>
      <c r="H30" s="44">
        <f t="shared" si="3"/>
        <v>1450.5099999999984</v>
      </c>
      <c r="I30" s="44">
        <f t="shared" si="3"/>
        <v>3540.09</v>
      </c>
      <c r="J30" s="44">
        <f t="shared" si="3"/>
        <v>-6847.43</v>
      </c>
      <c r="K30" s="44">
        <f t="shared" si="3"/>
        <v>0</v>
      </c>
      <c r="L30" s="44">
        <f t="shared" si="3"/>
        <v>0</v>
      </c>
      <c r="M30" s="44">
        <f t="shared" si="3"/>
        <v>0</v>
      </c>
      <c r="N30" s="44">
        <f t="shared" si="3"/>
        <v>0</v>
      </c>
      <c r="P30" s="54">
        <f>SUM(C30:N30)</f>
        <v>514.04999999999563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C5"/>
  <sheetViews>
    <sheetView workbookViewId="0">
      <selection activeCell="B5" sqref="B5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22</v>
      </c>
      <c r="C2" s="68"/>
    </row>
    <row r="3" spans="2:3" ht="30" customHeight="1" x14ac:dyDescent="0.3">
      <c r="B3" s="29" t="s">
        <v>11</v>
      </c>
      <c r="C3" s="30">
        <v>0.08</v>
      </c>
    </row>
    <row r="4" spans="2:3" ht="30" customHeight="1" x14ac:dyDescent="0.3">
      <c r="B4" s="29" t="s">
        <v>12</v>
      </c>
      <c r="C4" s="29">
        <v>75</v>
      </c>
    </row>
    <row r="5" spans="2:3" ht="30" customHeight="1" x14ac:dyDescent="0.3">
      <c r="B5" s="29" t="s">
        <v>38</v>
      </c>
      <c r="C5" s="29">
        <v>650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4"/>
  <sheetViews>
    <sheetView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23</v>
      </c>
      <c r="C2" s="69"/>
    </row>
    <row r="3" spans="2:3" ht="16.95" customHeight="1" x14ac:dyDescent="0.3">
      <c r="B3" s="34" t="s">
        <v>24</v>
      </c>
      <c r="C3" s="35">
        <f>'2023'!P30+'2024'!P30</f>
        <v>-1.56999999999789</v>
      </c>
    </row>
    <row r="4" spans="2:3" ht="16.95" customHeight="1" x14ac:dyDescent="0.3">
      <c r="B4" s="34" t="s">
        <v>26</v>
      </c>
      <c r="C4" s="36">
        <f>SUM('2023'!P12)+('2024'!P12)</f>
        <v>47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2023</vt:lpstr>
      <vt:lpstr>2024</vt:lpstr>
      <vt:lpstr>Params</vt:lpstr>
      <vt:lpstr>Synthése</vt:lpstr>
      <vt:lpstr>'2023'!AOUT</vt:lpstr>
      <vt:lpstr>'2024'!AOUT</vt:lpstr>
      <vt:lpstr>'2023'!AVRIL</vt:lpstr>
      <vt:lpstr>'2024'!AVRIL</vt:lpstr>
      <vt:lpstr>'2023'!CRA</vt:lpstr>
      <vt:lpstr>'2024'!CRA</vt:lpstr>
      <vt:lpstr>'2023'!CRA_ASTREINTE</vt:lpstr>
      <vt:lpstr>'2024'!CRA_ASTREINTE</vt:lpstr>
      <vt:lpstr>'2023'!CRA_CP</vt:lpstr>
      <vt:lpstr>'2024'!CRA_CP</vt:lpstr>
      <vt:lpstr>'2023'!CRA_PRODUCTION</vt:lpstr>
      <vt:lpstr>'2024'!CRA_PRODUCTION</vt:lpstr>
      <vt:lpstr>'2023'!CRA_SANS_SOLDE</vt:lpstr>
      <vt:lpstr>'2024'!CRA_SANS_SOLDE</vt:lpstr>
      <vt:lpstr>'2023'!DECEMBRE</vt:lpstr>
      <vt:lpstr>'2024'!DECEMBRE</vt:lpstr>
      <vt:lpstr>'2023'!ENTREES</vt:lpstr>
      <vt:lpstr>'2024'!ENTREES</vt:lpstr>
      <vt:lpstr>'2023'!ENTREES_ASTREINTE</vt:lpstr>
      <vt:lpstr>'2024'!ENTREES_ASTREINTE</vt:lpstr>
      <vt:lpstr>'2023'!ENTREES_FACTURE</vt:lpstr>
      <vt:lpstr>'2024'!ENTREES_FACTURE</vt:lpstr>
      <vt:lpstr>'2023'!FEVRIER</vt:lpstr>
      <vt:lpstr>'2024'!FEVRIER</vt:lpstr>
      <vt:lpstr>'2023'!JANVIER</vt:lpstr>
      <vt:lpstr>'2024'!JANVIER</vt:lpstr>
      <vt:lpstr>'2023'!JUILLET</vt:lpstr>
      <vt:lpstr>'2024'!JUILLET</vt:lpstr>
      <vt:lpstr>'2023'!JUIN</vt:lpstr>
      <vt:lpstr>'2024'!JUIN</vt:lpstr>
      <vt:lpstr>'2023'!MAI</vt:lpstr>
      <vt:lpstr>'2024'!MAI</vt:lpstr>
      <vt:lpstr>'2023'!MARS</vt:lpstr>
      <vt:lpstr>'2024'!MARS</vt:lpstr>
      <vt:lpstr>'2023'!MOIS</vt:lpstr>
      <vt:lpstr>'2024'!MOIS</vt:lpstr>
      <vt:lpstr>'2023'!NOVEMBRE</vt:lpstr>
      <vt:lpstr>'2024'!NOVEMBRE</vt:lpstr>
      <vt:lpstr>'2023'!OCTOBRE</vt:lpstr>
      <vt:lpstr>'2024'!OCTOBRE</vt:lpstr>
      <vt:lpstr>'2023'!REPAS</vt:lpstr>
      <vt:lpstr>'2024'!REPAS</vt:lpstr>
      <vt:lpstr>'2023'!REPAS_ACQUIS</vt:lpstr>
      <vt:lpstr>'2024'!REPAS_ACQUIS</vt:lpstr>
      <vt:lpstr>'2023'!REPAS_PRIS</vt:lpstr>
      <vt:lpstr>'2024'!REPAS_PRIS</vt:lpstr>
      <vt:lpstr>'2023'!REPAS_SOLDE</vt:lpstr>
      <vt:lpstr>'2024'!REPAS_SOLDE</vt:lpstr>
      <vt:lpstr>'2023'!SEPTEMBRE</vt:lpstr>
      <vt:lpstr>'2024'!SEPTEMBRE</vt:lpstr>
      <vt:lpstr>'2023'!SOLDE</vt:lpstr>
      <vt:lpstr>'2024'!SOLDE</vt:lpstr>
      <vt:lpstr>'2023'!SORTIES</vt:lpstr>
      <vt:lpstr>'2024'!SORTIES</vt:lpstr>
      <vt:lpstr>'2023'!SORTIES_CHARGES_SOCIALES_PATRONALES</vt:lpstr>
      <vt:lpstr>'2024'!SORTIES_CHARGES_SOCIALES_PATRONALES</vt:lpstr>
      <vt:lpstr>'2023'!SORTIES_SALAIRE_NET</vt:lpstr>
      <vt:lpstr>'2024'!SORTIES_SALAIRE_NET</vt:lpstr>
      <vt:lpstr>'2023'!TOTAL</vt:lpstr>
      <vt:lpstr>'2024'!TOTAL</vt:lpstr>
      <vt:lpstr>'2023'!TOTAL_ENTREES</vt:lpstr>
      <vt:lpstr>'2024'!TOTAL_ENTREES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2024-09-03T00:03:02Z</dcterms:modified>
</cp:coreProperties>
</file>