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2\STC\Amir AJINA\"/>
    </mc:Choice>
  </mc:AlternateContent>
  <bookViews>
    <workbookView xWindow="0" yWindow="0" windowWidth="25920" windowHeight="13392" activeTab="1"/>
  </bookViews>
  <sheets>
    <sheet name="2023" sheetId="15" r:id="rId1"/>
    <sheet name="2024" sheetId="16" r:id="rId2"/>
    <sheet name="Params" sheetId="11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>#REF!</definedName>
    <definedName name="ENTREES" localSheetId="0">'2023'!$B$16</definedName>
    <definedName name="ENTREES" localSheetId="1">'2024'!$B$16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'2023'!#REF!</definedName>
    <definedName name="FRAIS_KM" localSheetId="1">'2024'!#REF!</definedName>
    <definedName name="FRAIS_KM">#REF!</definedName>
    <definedName name="FRAIS_KM_FIXE" localSheetId="0">'2023'!#REF!</definedName>
    <definedName name="FRAIS_KM_FIXE" localSheetId="1">'2024'!#REF!</definedName>
    <definedName name="FRAIS_KM_FIXE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'2023'!#REF!</definedName>
    <definedName name="NOMBRE_KM" localSheetId="1">'2024'!#REF!</definedName>
    <definedName name="NOMBRE_KM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'2023'!$B$29</definedName>
    <definedName name="SOLDE" localSheetId="1">'2024'!$B$29</definedName>
    <definedName name="SOLDE">#REF!</definedName>
    <definedName name="SORTIES" localSheetId="0">'2023'!$B$21</definedName>
    <definedName name="SORTIES" localSheetId="1">'2024'!$B$21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'2023'!$B$27</definedName>
    <definedName name="TOTAL_SORTIES" localSheetId="1">'2024'!$B$27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D26" i="16" l="1"/>
  <c r="D17" i="16"/>
  <c r="C25" i="16" l="1"/>
  <c r="M27" i="16" l="1"/>
  <c r="E27" i="16"/>
  <c r="D27" i="16"/>
  <c r="L27" i="16"/>
  <c r="P22" i="16"/>
  <c r="E19" i="16"/>
  <c r="D19" i="16"/>
  <c r="P18" i="16"/>
  <c r="N19" i="16"/>
  <c r="M19" i="16"/>
  <c r="M29" i="16" s="1"/>
  <c r="L19" i="16"/>
  <c r="K19" i="16"/>
  <c r="J19" i="16"/>
  <c r="I19" i="16"/>
  <c r="H19" i="16"/>
  <c r="G19" i="16"/>
  <c r="P14" i="16"/>
  <c r="P13" i="16"/>
  <c r="P12" i="16"/>
  <c r="C4" i="13" s="1"/>
  <c r="P11" i="16"/>
  <c r="E8" i="16"/>
  <c r="D8" i="16"/>
  <c r="C8" i="16"/>
  <c r="P7" i="16"/>
  <c r="P6" i="16"/>
  <c r="E27" i="15"/>
  <c r="D27" i="15"/>
  <c r="C27" i="15"/>
  <c r="N26" i="15"/>
  <c r="M26" i="15"/>
  <c r="L26" i="15"/>
  <c r="K26" i="15"/>
  <c r="J26" i="15"/>
  <c r="I26" i="15"/>
  <c r="H26" i="15"/>
  <c r="G26" i="15"/>
  <c r="F26" i="15"/>
  <c r="M25" i="15"/>
  <c r="N24" i="15"/>
  <c r="M24" i="15"/>
  <c r="L24" i="15"/>
  <c r="K24" i="15"/>
  <c r="J24" i="15"/>
  <c r="I24" i="15"/>
  <c r="H24" i="15"/>
  <c r="G24" i="15"/>
  <c r="F24" i="15"/>
  <c r="N23" i="15"/>
  <c r="M23" i="15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P22" i="15"/>
  <c r="L19" i="15"/>
  <c r="E19" i="15"/>
  <c r="E29" i="15" s="1"/>
  <c r="D19" i="15"/>
  <c r="C19" i="15"/>
  <c r="C29" i="15" s="1"/>
  <c r="P18" i="15"/>
  <c r="N17" i="15"/>
  <c r="N19" i="15" s="1"/>
  <c r="M17" i="15"/>
  <c r="M19" i="15" s="1"/>
  <c r="L17" i="15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9" i="16" l="1"/>
  <c r="P24" i="15"/>
  <c r="J27" i="15"/>
  <c r="P26" i="15"/>
  <c r="J29" i="15"/>
  <c r="M27" i="15"/>
  <c r="E29" i="16"/>
  <c r="N27" i="15"/>
  <c r="N29" i="15" s="1"/>
  <c r="N25" i="15"/>
  <c r="L29" i="16"/>
  <c r="F27" i="16"/>
  <c r="N27" i="16"/>
  <c r="N29" i="16" s="1"/>
  <c r="P25" i="16"/>
  <c r="G27" i="16"/>
  <c r="G29" i="16" s="1"/>
  <c r="F19" i="16"/>
  <c r="F29" i="16" s="1"/>
  <c r="H27" i="16"/>
  <c r="I27" i="16"/>
  <c r="I29" i="16" s="1"/>
  <c r="J27" i="16"/>
  <c r="J29" i="16" s="1"/>
  <c r="K27" i="16"/>
  <c r="K29" i="16" s="1"/>
  <c r="M29" i="15"/>
  <c r="H29" i="15"/>
  <c r="F25" i="15"/>
  <c r="P25" i="15" s="1"/>
  <c r="H27" i="15"/>
  <c r="F19" i="15"/>
  <c r="P19" i="15" s="1"/>
  <c r="I27" i="15"/>
  <c r="I29" i="15" s="1"/>
  <c r="D29" i="15"/>
  <c r="G27" i="15"/>
  <c r="G29" i="15" s="1"/>
  <c r="K27" i="15"/>
  <c r="K29" i="15" s="1"/>
  <c r="L27" i="15"/>
  <c r="L29" i="15" s="1"/>
  <c r="P23" i="15"/>
  <c r="H29" i="16" l="1"/>
  <c r="F27" i="15"/>
  <c r="P27" i="15" s="1"/>
  <c r="C26" i="16"/>
  <c r="P26" i="16" s="1"/>
  <c r="C24" i="16"/>
  <c r="P24" i="16" s="1"/>
  <c r="C23" i="16"/>
  <c r="C17" i="16"/>
  <c r="N8" i="16"/>
  <c r="M8" i="16"/>
  <c r="L8" i="16"/>
  <c r="K8" i="16"/>
  <c r="J8" i="16"/>
  <c r="I8" i="16"/>
  <c r="H8" i="16"/>
  <c r="G8" i="16"/>
  <c r="F8" i="16"/>
  <c r="F29" i="15" l="1"/>
  <c r="P29" i="15" s="1"/>
  <c r="P23" i="16"/>
  <c r="C27" i="16"/>
  <c r="P27" i="16" s="1"/>
  <c r="P8" i="16"/>
  <c r="C19" i="16"/>
  <c r="P17" i="16"/>
  <c r="C29" i="16" l="1"/>
  <c r="P29" i="16" s="1"/>
  <c r="C3" i="13" s="1"/>
  <c r="P19" i="16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<sst xmlns="http://schemas.openxmlformats.org/spreadsheetml/2006/main" count="80" uniqueCount="43">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</sst>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opLeftCell="I1" workbookViewId="0">
      <selection activeCell="N25" sqref="N25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3">
      <c r="B1" s="79" t="s">
        <v>9</v>
      </c>
      <c r="P1" s="52"/>
    </row>
    <row r="2" spans="2:16" x14ac:dyDescent="0.3">
      <c r="B2" s="8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3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3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3">
      <c r="B6" s="10" t="s">
        <v>29</v>
      </c>
      <c r="C6" s="11"/>
      <c r="D6" s="11"/>
      <c r="E6" s="11"/>
      <c r="F6" s="11">
        <v>19</v>
      </c>
      <c r="G6" s="11">
        <v>19</v>
      </c>
      <c r="H6" s="11">
        <v>19</v>
      </c>
      <c r="I6" s="11">
        <v>19</v>
      </c>
      <c r="J6" s="11">
        <v>19</v>
      </c>
      <c r="K6" s="11">
        <v>19</v>
      </c>
      <c r="L6" s="11">
        <v>19</v>
      </c>
      <c r="M6" s="11">
        <v>19</v>
      </c>
      <c r="N6" s="69">
        <v>0</v>
      </c>
      <c r="O6" s="51"/>
      <c r="P6" s="76">
        <f>SUM(C6:N6)</f>
        <v>152</v>
      </c>
    </row>
    <row r="7" spans="2:16" ht="15" customHeight="1" x14ac:dyDescent="0.3">
      <c r="B7" s="10" t="s">
        <v>30</v>
      </c>
      <c r="C7" s="11"/>
      <c r="D7" s="11"/>
      <c r="E7" s="11"/>
      <c r="F7" s="11">
        <v>13</v>
      </c>
      <c r="G7" s="11">
        <v>18</v>
      </c>
      <c r="H7" s="11">
        <v>20</v>
      </c>
      <c r="I7" s="11">
        <v>11</v>
      </c>
      <c r="J7" s="11">
        <v>16</v>
      </c>
      <c r="K7" s="11">
        <v>17</v>
      </c>
      <c r="L7" s="11">
        <v>17</v>
      </c>
      <c r="M7" s="11">
        <v>19</v>
      </c>
      <c r="N7" s="11">
        <v>19</v>
      </c>
      <c r="O7" s="51"/>
      <c r="P7" s="76">
        <f>SUM(C7:N7)</f>
        <v>150</v>
      </c>
    </row>
    <row r="8" spans="2:16" ht="15" customHeight="1" x14ac:dyDescent="0.3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1</v>
      </c>
      <c r="I8" s="63">
        <f t="shared" si="0"/>
        <v>-8</v>
      </c>
      <c r="J8" s="63">
        <f t="shared" si="0"/>
        <v>-3</v>
      </c>
      <c r="K8" s="63">
        <f t="shared" si="0"/>
        <v>-2</v>
      </c>
      <c r="L8" s="63">
        <f t="shared" si="0"/>
        <v>-2</v>
      </c>
      <c r="M8" s="63">
        <f t="shared" si="0"/>
        <v>0</v>
      </c>
      <c r="N8" s="63">
        <f t="shared" si="0"/>
        <v>19</v>
      </c>
      <c r="O8" s="51"/>
      <c r="P8" s="76">
        <f>SUM(C8:N8)</f>
        <v>-2</v>
      </c>
    </row>
    <row r="9" spans="2:16" ht="15" customHeight="1" x14ac:dyDescent="0.3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7"/>
    </row>
    <row r="10" spans="2:16" ht="15" customHeight="1" x14ac:dyDescent="0.3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3">
      <c r="B11" s="16" t="s">
        <v>22</v>
      </c>
      <c r="C11" s="58"/>
      <c r="D11" s="58"/>
      <c r="E11" s="58"/>
      <c r="F11" s="58">
        <v>13</v>
      </c>
      <c r="G11" s="58">
        <v>18</v>
      </c>
      <c r="H11" s="58">
        <v>20</v>
      </c>
      <c r="I11" s="58">
        <v>11</v>
      </c>
      <c r="J11" s="58">
        <v>16</v>
      </c>
      <c r="K11" s="58">
        <v>17</v>
      </c>
      <c r="L11" s="58">
        <v>17</v>
      </c>
      <c r="M11" s="58">
        <v>19</v>
      </c>
      <c r="N11" s="58">
        <v>19</v>
      </c>
      <c r="P11" s="76">
        <f>SUM(C11:N11)</f>
        <v>150</v>
      </c>
    </row>
    <row r="12" spans="2:16" ht="15" customHeight="1" x14ac:dyDescent="0.3">
      <c r="B12" s="10" t="s">
        <v>24</v>
      </c>
      <c r="C12" s="59"/>
      <c r="D12" s="59"/>
      <c r="E12" s="59"/>
      <c r="F12" s="59">
        <v>6</v>
      </c>
      <c r="G12" s="59">
        <v>1</v>
      </c>
      <c r="H12" s="59">
        <v>2</v>
      </c>
      <c r="I12" s="59">
        <v>9</v>
      </c>
      <c r="J12" s="59">
        <v>0</v>
      </c>
      <c r="K12" s="59">
        <v>0</v>
      </c>
      <c r="L12" s="59">
        <v>0</v>
      </c>
      <c r="M12" s="59">
        <v>2</v>
      </c>
      <c r="N12" s="59">
        <v>0</v>
      </c>
      <c r="P12" s="76">
        <f>SUM(C12:N12)</f>
        <v>20</v>
      </c>
    </row>
    <row r="13" spans="2:16" ht="15" customHeight="1" x14ac:dyDescent="0.3">
      <c r="B13" s="10" t="s">
        <v>25</v>
      </c>
      <c r="C13" s="60"/>
      <c r="D13" s="59"/>
      <c r="E13" s="59"/>
      <c r="F13" s="59"/>
      <c r="G13" s="59"/>
      <c r="H13" s="59"/>
      <c r="I13" s="59"/>
      <c r="J13" s="59">
        <v>6</v>
      </c>
      <c r="K13" s="59">
        <v>10</v>
      </c>
      <c r="L13" s="59">
        <v>5</v>
      </c>
      <c r="M13" s="59"/>
      <c r="N13" s="59">
        <v>1</v>
      </c>
      <c r="P13" s="76">
        <f>SUM(C13:N13)</f>
        <v>22</v>
      </c>
    </row>
    <row r="14" spans="2:16" ht="15" customHeight="1" x14ac:dyDescent="0.3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6">
        <f>SUM(C14:N14)</f>
        <v>0</v>
      </c>
    </row>
    <row r="15" spans="2:16" ht="15" customHeight="1" x14ac:dyDescent="0.3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3">
      <c r="B17" s="10" t="s">
        <v>6</v>
      </c>
      <c r="C17" s="14"/>
      <c r="D17" s="78"/>
      <c r="E17" s="78"/>
      <c r="F17" s="78">
        <f>F11*Params!$C$5*(1-Params!$C$3)-Params!$C$4</f>
        <v>6622.6</v>
      </c>
      <c r="G17" s="78">
        <f>G11*Params!$C$5*(1-Params!$C$3)-Params!$C$4</f>
        <v>9198.6</v>
      </c>
      <c r="H17" s="78">
        <f>H11*Params!$C$5*(1-Params!$C$3)-Params!$C$4</f>
        <v>10229</v>
      </c>
      <c r="I17" s="78">
        <f>I11*Params!$C$5*(1-Params!$C$3)-Params!$C$4</f>
        <v>5592.2</v>
      </c>
      <c r="J17" s="78">
        <f>J11*Params!$C$5*(1-Params!$C$3)-Params!$C$4</f>
        <v>8168.2000000000007</v>
      </c>
      <c r="K17" s="78">
        <f>K11*Params!$C$5*(1-Params!$C$3)-Params!$C$4</f>
        <v>8683.4</v>
      </c>
      <c r="L17" s="78">
        <f>L11*Params!$C$6*(1-Params!$C$3)-Params!$C$4</f>
        <v>8839.8000000000011</v>
      </c>
      <c r="M17" s="78">
        <f>M11*Params!$C$6*(1-Params!$C$3)-Params!$C$4</f>
        <v>9888.6</v>
      </c>
      <c r="N17" s="78">
        <f>N11*Params!$C$6*(1-Params!$C$3)-Params!$C$4</f>
        <v>9888.6</v>
      </c>
      <c r="O17" s="4"/>
      <c r="P17" s="44">
        <f>SUM(C17:N17)</f>
        <v>77111.000000000015</v>
      </c>
    </row>
    <row r="18" spans="2:18" ht="15" customHeight="1" x14ac:dyDescent="0.3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3">
      <c r="B19" s="2" t="s">
        <v>2</v>
      </c>
      <c r="C19" s="36">
        <f t="shared" ref="C19:N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10229</v>
      </c>
      <c r="I19" s="36">
        <f t="shared" si="1"/>
        <v>5592.2</v>
      </c>
      <c r="J19" s="36">
        <f t="shared" si="1"/>
        <v>8168.2000000000007</v>
      </c>
      <c r="K19" s="36">
        <f t="shared" si="1"/>
        <v>8683.4</v>
      </c>
      <c r="L19" s="36">
        <f t="shared" si="1"/>
        <v>8839.8000000000011</v>
      </c>
      <c r="M19" s="36">
        <f t="shared" si="1"/>
        <v>9888.6</v>
      </c>
      <c r="N19" s="36">
        <f t="shared" si="1"/>
        <v>9888.6</v>
      </c>
      <c r="O19" s="5"/>
      <c r="P19" s="45">
        <f>SUM(C19:N19)</f>
        <v>77111.000000000015</v>
      </c>
    </row>
    <row r="20" spans="2:18" ht="15" customHeight="1" x14ac:dyDescent="0.3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3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3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>
        <v>5086.21</v>
      </c>
      <c r="I22" s="11">
        <v>5086.21</v>
      </c>
      <c r="J22" s="11">
        <v>4093.76</v>
      </c>
      <c r="K22" s="11">
        <v>5208.8999999999996</v>
      </c>
      <c r="L22" s="11">
        <v>4017.61</v>
      </c>
      <c r="M22" s="11">
        <v>5086.21</v>
      </c>
      <c r="N22" s="11">
        <v>4703.76</v>
      </c>
      <c r="O22" s="4"/>
      <c r="P22" s="44">
        <f t="shared" ref="P22:P27" si="2">SUM(C22:N22)</f>
        <v>43455.08</v>
      </c>
    </row>
    <row r="23" spans="2:18" s="74" customFormat="1" x14ac:dyDescent="0.3">
      <c r="B23" s="71" t="s">
        <v>38</v>
      </c>
      <c r="C23" s="75"/>
      <c r="D23" s="75"/>
      <c r="E23" s="75"/>
      <c r="F23" s="75">
        <f>(5830.99/5)*(1-9.7%)</f>
        <v>1053.0767939999998</v>
      </c>
      <c r="G23" s="75">
        <f>(5830.99/5)*(1-9.7%)</f>
        <v>1053.0767939999998</v>
      </c>
      <c r="H23" s="75">
        <f>(5830.99/5)*(1-9.7%)</f>
        <v>1053.0767939999998</v>
      </c>
      <c r="I23" s="75">
        <f>(5830.99/5)*(1-9.7%)</f>
        <v>1053.0767939999998</v>
      </c>
      <c r="J23" s="75">
        <f>(4621.26/5)*(1-9.7%)</f>
        <v>834.59955600000012</v>
      </c>
      <c r="K23" s="75">
        <f>(3224.25/5)*(1-9.7%)</f>
        <v>582.29955000000007</v>
      </c>
      <c r="L23" s="75">
        <f>(4527.62/5)*(1-9.7%)</f>
        <v>817.68817200000001</v>
      </c>
      <c r="M23" s="75">
        <f>(5830.99/5)*(1-9.7%)</f>
        <v>1053.0767939999998</v>
      </c>
      <c r="N23" s="75">
        <f>(5382.22/5)*(1-9.7%)</f>
        <v>972.02893199999994</v>
      </c>
      <c r="O23" s="72"/>
      <c r="P23" s="73">
        <f t="shared" si="2"/>
        <v>8472.0001799999991</v>
      </c>
    </row>
    <row r="24" spans="2:18" x14ac:dyDescent="0.3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>
        <f>(5830.99/5)*9.7%</f>
        <v>113.12120599999997</v>
      </c>
      <c r="I24" s="13">
        <f>(5830.99/5)*9.7%</f>
        <v>113.12120599999997</v>
      </c>
      <c r="J24" s="13">
        <f>(4621.26/5)*9.7%</f>
        <v>89.652444000000003</v>
      </c>
      <c r="K24" s="13">
        <f>(3224.25/5)*9.7%</f>
        <v>62.550449999999998</v>
      </c>
      <c r="L24" s="13">
        <f>(4527.62/5)*9.7%</f>
        <v>87.835827999999992</v>
      </c>
      <c r="M24" s="13">
        <f>(5830.99/5)*9.7%</f>
        <v>113.12120599999997</v>
      </c>
      <c r="N24" s="13">
        <f>(5382.22/5)*9.7%</f>
        <v>104.41506799999999</v>
      </c>
      <c r="O24" s="4"/>
      <c r="P24" s="44">
        <f t="shared" si="2"/>
        <v>910.05981999999995</v>
      </c>
    </row>
    <row r="25" spans="2:18" ht="15" customHeight="1" x14ac:dyDescent="0.3">
      <c r="B25" s="64" t="s">
        <v>35</v>
      </c>
      <c r="C25" s="13"/>
      <c r="D25" s="13"/>
      <c r="E25" s="13"/>
      <c r="F25" s="13">
        <f t="shared" ref="F25:N25" si="3">(F23)*0.02</f>
        <v>21.061535879999997</v>
      </c>
      <c r="G25" s="13">
        <f t="shared" si="3"/>
        <v>21.061535879999997</v>
      </c>
      <c r="H25" s="13">
        <f t="shared" si="3"/>
        <v>21.061535879999997</v>
      </c>
      <c r="I25" s="13">
        <f t="shared" si="3"/>
        <v>21.061535879999997</v>
      </c>
      <c r="J25" s="13">
        <f t="shared" si="3"/>
        <v>16.691991120000004</v>
      </c>
      <c r="K25" s="13">
        <f t="shared" si="3"/>
        <v>11.645991000000002</v>
      </c>
      <c r="L25" s="13">
        <f t="shared" si="3"/>
        <v>16.353763440000002</v>
      </c>
      <c r="M25" s="13">
        <f t="shared" si="3"/>
        <v>21.061535879999997</v>
      </c>
      <c r="N25" s="13">
        <f t="shared" si="3"/>
        <v>19.440578639999998</v>
      </c>
      <c r="O25" s="4"/>
      <c r="P25" s="44">
        <f t="shared" si="2"/>
        <v>169.44000360000001</v>
      </c>
    </row>
    <row r="26" spans="2:18" ht="15" customHeight="1" x14ac:dyDescent="0.3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>
        <f>1078.89+2383.32</f>
        <v>3462.21</v>
      </c>
      <c r="I26" s="11">
        <f>1078.89+2385.93</f>
        <v>3464.8199999999997</v>
      </c>
      <c r="J26" s="11">
        <f>861.61+1918.97</f>
        <v>2780.58</v>
      </c>
      <c r="K26" s="11">
        <f>849.46+1335.06</f>
        <v>2184.52</v>
      </c>
      <c r="L26" s="11">
        <f>844.12+1857.41</f>
        <v>2701.53</v>
      </c>
      <c r="M26" s="11">
        <f>1078.89+2380.68</f>
        <v>3459.5699999999997</v>
      </c>
      <c r="N26" s="11">
        <f>1012.57+2204.63</f>
        <v>3217.2000000000003</v>
      </c>
      <c r="O26" s="4"/>
      <c r="P26" s="44">
        <f t="shared" si="2"/>
        <v>28205.35</v>
      </c>
    </row>
    <row r="27" spans="2:18" ht="15" customHeight="1" x14ac:dyDescent="0.3">
      <c r="B27" s="8" t="s">
        <v>3</v>
      </c>
      <c r="C27" s="9">
        <f t="shared" ref="C27:N27" si="4">SUM(C22:C26)</f>
        <v>0</v>
      </c>
      <c r="D27" s="9">
        <f t="shared" si="4"/>
        <v>0</v>
      </c>
      <c r="E27" s="9">
        <f t="shared" si="4"/>
        <v>0</v>
      </c>
      <c r="F27" s="9">
        <f t="shared" si="4"/>
        <v>9731.5795358799987</v>
      </c>
      <c r="G27" s="9">
        <f t="shared" si="4"/>
        <v>9750.2795358799995</v>
      </c>
      <c r="H27" s="9">
        <f t="shared" si="4"/>
        <v>9735.6795358799991</v>
      </c>
      <c r="I27" s="9">
        <f t="shared" si="4"/>
        <v>9738.2895358799979</v>
      </c>
      <c r="J27" s="9">
        <f t="shared" si="4"/>
        <v>7815.2839911200008</v>
      </c>
      <c r="K27" s="9">
        <f t="shared" si="4"/>
        <v>8049.9159909999998</v>
      </c>
      <c r="L27" s="9">
        <f t="shared" si="4"/>
        <v>7641.0177634400006</v>
      </c>
      <c r="M27" s="9">
        <f t="shared" si="4"/>
        <v>9733.0395358799979</v>
      </c>
      <c r="N27" s="9">
        <f t="shared" si="4"/>
        <v>9016.8445786400007</v>
      </c>
      <c r="O27" s="4"/>
      <c r="P27" s="48">
        <f t="shared" si="2"/>
        <v>81211.930003599991</v>
      </c>
    </row>
    <row r="28" spans="2:18" ht="15" customHeight="1" x14ac:dyDescent="0.3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3">
      <c r="B29" s="39" t="s">
        <v>27</v>
      </c>
      <c r="C29" s="40">
        <f t="shared" ref="C29:N29" si="5">+C19-C27</f>
        <v>0</v>
      </c>
      <c r="D29" s="40">
        <f t="shared" si="5"/>
        <v>0</v>
      </c>
      <c r="E29" s="40">
        <f t="shared" si="5"/>
        <v>0</v>
      </c>
      <c r="F29" s="40">
        <f t="shared" si="5"/>
        <v>-3108.9795358799984</v>
      </c>
      <c r="G29" s="40">
        <f t="shared" si="5"/>
        <v>-551.67953587999909</v>
      </c>
      <c r="H29" s="40">
        <f t="shared" si="5"/>
        <v>493.32046412000091</v>
      </c>
      <c r="I29" s="40">
        <f t="shared" si="5"/>
        <v>-4146.089535879998</v>
      </c>
      <c r="J29" s="40">
        <f t="shared" si="5"/>
        <v>352.91600887999994</v>
      </c>
      <c r="K29" s="40">
        <f t="shared" si="5"/>
        <v>633.48400899999979</v>
      </c>
      <c r="L29" s="40">
        <f t="shared" si="5"/>
        <v>1198.7822365600005</v>
      </c>
      <c r="M29" s="40">
        <f t="shared" si="5"/>
        <v>155.56046412000251</v>
      </c>
      <c r="N29" s="40">
        <f t="shared" si="5"/>
        <v>871.75542135999967</v>
      </c>
      <c r="O29" s="4"/>
      <c r="P29" s="50">
        <f>SUM(C29:N29)</f>
        <v>-4100.9300035999922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topLeftCell="B1" workbookViewId="0">
      <selection activeCell="D13" sqref="D13"/>
    </sheetView>
  </sheetViews>
  <sheetFormatPr baseColWidth="10" defaultColWidth="11" defaultRowHeight="14.4" x14ac:dyDescent="0.3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3">
      <c r="B1" s="79" t="s">
        <v>9</v>
      </c>
      <c r="P1" s="52"/>
    </row>
    <row r="2" spans="2:16" x14ac:dyDescent="0.3">
      <c r="B2" s="8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3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3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3">
      <c r="B6" s="10" t="s">
        <v>29</v>
      </c>
      <c r="C6" s="11">
        <v>17</v>
      </c>
      <c r="D6" s="11">
        <v>19</v>
      </c>
      <c r="E6" s="11"/>
      <c r="F6" s="11"/>
      <c r="G6" s="11"/>
      <c r="H6" s="11"/>
      <c r="I6" s="11"/>
      <c r="J6" s="11"/>
      <c r="K6" s="11"/>
      <c r="L6" s="11"/>
      <c r="M6" s="11"/>
      <c r="N6" s="69"/>
      <c r="O6" s="51"/>
      <c r="P6" s="76">
        <f>SUM(C6:N6)</f>
        <v>36</v>
      </c>
    </row>
    <row r="7" spans="2:16" ht="15" customHeight="1" x14ac:dyDescent="0.3">
      <c r="B7" s="10" t="s">
        <v>30</v>
      </c>
      <c r="C7" s="11">
        <v>22</v>
      </c>
      <c r="D7" s="11">
        <v>21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51"/>
      <c r="P7" s="76">
        <f>SUM(C7:N7)</f>
        <v>43</v>
      </c>
    </row>
    <row r="8" spans="2:16" ht="15" customHeight="1" x14ac:dyDescent="0.3">
      <c r="B8" s="15" t="s">
        <v>31</v>
      </c>
      <c r="C8" s="63">
        <f t="shared" ref="C8:N8" si="0">C7-C6</f>
        <v>5</v>
      </c>
      <c r="D8" s="63">
        <f t="shared" si="0"/>
        <v>2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51"/>
      <c r="P8" s="76">
        <f>SUM(C8:N8)</f>
        <v>7</v>
      </c>
    </row>
    <row r="9" spans="2:16" ht="15" customHeight="1" x14ac:dyDescent="0.3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7"/>
    </row>
    <row r="10" spans="2:16" ht="15" customHeight="1" x14ac:dyDescent="0.3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3">
      <c r="B11" s="16" t="s">
        <v>22</v>
      </c>
      <c r="C11" s="58">
        <v>22</v>
      </c>
      <c r="D11" s="58">
        <v>21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P11" s="76">
        <f>SUM(C11:N11)</f>
        <v>43</v>
      </c>
    </row>
    <row r="12" spans="2:16" ht="15" customHeight="1" x14ac:dyDescent="0.3">
      <c r="B12" s="10" t="s">
        <v>24</v>
      </c>
      <c r="C12" s="59"/>
      <c r="D12" s="59">
        <v>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P12" s="76">
        <f>SUM(C12:N12)</f>
        <v>3</v>
      </c>
    </row>
    <row r="13" spans="2:16" ht="15" customHeight="1" x14ac:dyDescent="0.3">
      <c r="B13" s="10" t="s">
        <v>25</v>
      </c>
      <c r="C13" s="60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76">
        <f>SUM(C13:N13)</f>
        <v>0</v>
      </c>
    </row>
    <row r="14" spans="2:16" ht="15" customHeight="1" x14ac:dyDescent="0.3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6">
        <f>SUM(C14:N14)</f>
        <v>0</v>
      </c>
    </row>
    <row r="15" spans="2:16" ht="15" customHeight="1" x14ac:dyDescent="0.3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3">
      <c r="B17" s="10" t="s">
        <v>6</v>
      </c>
      <c r="C17" s="14">
        <f>C11*Params!$C$6*(1-Params!$C$3)-Params!$C$4</f>
        <v>11461.800000000001</v>
      </c>
      <c r="D17" s="14">
        <f>D11*Params!$C$6*(1-Params!$C$3)-Params!$C$4</f>
        <v>10937.4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4"/>
      <c r="P17" s="44">
        <f>SUM(C17:N17)</f>
        <v>22399.200000000001</v>
      </c>
    </row>
    <row r="18" spans="2:18" ht="15" customHeight="1" x14ac:dyDescent="0.3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3">
      <c r="B19" s="2" t="s">
        <v>2</v>
      </c>
      <c r="C19" s="36">
        <f t="shared" ref="C19:N19" si="1">SUM(C17:C18)</f>
        <v>11461.800000000001</v>
      </c>
      <c r="D19" s="36">
        <f t="shared" si="1"/>
        <v>10937.4</v>
      </c>
      <c r="E19" s="36">
        <f t="shared" si="1"/>
        <v>0</v>
      </c>
      <c r="F19" s="36">
        <f t="shared" si="1"/>
        <v>0</v>
      </c>
      <c r="G19" s="36">
        <f t="shared" si="1"/>
        <v>0</v>
      </c>
      <c r="H19" s="36">
        <f t="shared" si="1"/>
        <v>0</v>
      </c>
      <c r="I19" s="36">
        <f t="shared" si="1"/>
        <v>0</v>
      </c>
      <c r="J19" s="36">
        <f t="shared" si="1"/>
        <v>0</v>
      </c>
      <c r="K19" s="36">
        <f t="shared" si="1"/>
        <v>0</v>
      </c>
      <c r="L19" s="36">
        <f t="shared" si="1"/>
        <v>0</v>
      </c>
      <c r="M19" s="36">
        <f t="shared" si="1"/>
        <v>0</v>
      </c>
      <c r="N19" s="36">
        <f t="shared" si="1"/>
        <v>0</v>
      </c>
      <c r="O19" s="5"/>
      <c r="P19" s="45">
        <f>SUM(C19:N19)</f>
        <v>22399.200000000001</v>
      </c>
    </row>
    <row r="20" spans="2:18" ht="15" customHeight="1" x14ac:dyDescent="0.3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3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3">
      <c r="B22" s="10" t="s">
        <v>7</v>
      </c>
      <c r="C22" s="11">
        <v>4418.51</v>
      </c>
      <c r="D22" s="11">
        <v>6528.63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4">
        <f t="shared" ref="P22:P27" si="2">SUM(C22:N22)</f>
        <v>10947.14</v>
      </c>
    </row>
    <row r="23" spans="2:18" s="74" customFormat="1" x14ac:dyDescent="0.3">
      <c r="B23" s="71" t="s">
        <v>38</v>
      </c>
      <c r="C23" s="75">
        <f>(5032.56/5)*(1-9.7%)</f>
        <v>908.88033600000006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2"/>
      <c r="P23" s="73">
        <f t="shared" si="2"/>
        <v>908.88033600000006</v>
      </c>
    </row>
    <row r="24" spans="2:18" x14ac:dyDescent="0.3">
      <c r="B24" s="12" t="s">
        <v>39</v>
      </c>
      <c r="C24" s="13">
        <f>(5032.56/5)*9.7%</f>
        <v>97.631664000000001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4">
        <f t="shared" si="2"/>
        <v>97.631664000000001</v>
      </c>
    </row>
    <row r="25" spans="2:18" ht="15" customHeight="1" x14ac:dyDescent="0.3">
      <c r="B25" s="64" t="s">
        <v>35</v>
      </c>
      <c r="C25" s="13">
        <f>C23*0.02</f>
        <v>18.17760672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4">
        <f t="shared" si="2"/>
        <v>18.17760672</v>
      </c>
    </row>
    <row r="26" spans="2:18" ht="15" customHeight="1" x14ac:dyDescent="0.3">
      <c r="B26" s="10" t="s">
        <v>8</v>
      </c>
      <c r="C26" s="11">
        <f>950.45+2075.69</f>
        <v>3026.1400000000003</v>
      </c>
      <c r="D26" s="11">
        <f>1102.08+2196.42</f>
        <v>3298.5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4">
        <f t="shared" si="2"/>
        <v>6324.64</v>
      </c>
    </row>
    <row r="27" spans="2:18" ht="15" customHeight="1" x14ac:dyDescent="0.3">
      <c r="B27" s="8" t="s">
        <v>3</v>
      </c>
      <c r="C27" s="9">
        <f t="shared" ref="C27:N27" si="3">SUM(C22:C26)</f>
        <v>8469.339606720001</v>
      </c>
      <c r="D27" s="9">
        <f t="shared" si="3"/>
        <v>9827.130000000001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8">
        <f t="shared" si="2"/>
        <v>18296.469606720002</v>
      </c>
    </row>
    <row r="28" spans="2:18" ht="15" customHeight="1" x14ac:dyDescent="0.3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3">
      <c r="B29" s="39" t="s">
        <v>27</v>
      </c>
      <c r="C29" s="40">
        <f t="shared" ref="C29:N29" si="4">+C19-C27</f>
        <v>2992.4603932800001</v>
      </c>
      <c r="D29" s="40">
        <f t="shared" si="4"/>
        <v>1110.2699999999986</v>
      </c>
      <c r="E29" s="40">
        <f t="shared" si="4"/>
        <v>0</v>
      </c>
      <c r="F29" s="40">
        <f t="shared" si="4"/>
        <v>0</v>
      </c>
      <c r="G29" s="40">
        <f t="shared" si="4"/>
        <v>0</v>
      </c>
      <c r="H29" s="40">
        <f t="shared" si="4"/>
        <v>0</v>
      </c>
      <c r="I29" s="40">
        <f t="shared" si="4"/>
        <v>0</v>
      </c>
      <c r="J29" s="40">
        <f t="shared" si="4"/>
        <v>0</v>
      </c>
      <c r="K29" s="40">
        <f t="shared" si="4"/>
        <v>0</v>
      </c>
      <c r="L29" s="40">
        <f t="shared" si="4"/>
        <v>0</v>
      </c>
      <c r="M29" s="40">
        <f t="shared" si="4"/>
        <v>0</v>
      </c>
      <c r="N29" s="40">
        <f t="shared" si="4"/>
        <v>0</v>
      </c>
      <c r="O29" s="4"/>
      <c r="P29" s="50">
        <f>SUM(C29:N29)</f>
        <v>4102.7303932799987</v>
      </c>
    </row>
    <row r="30" spans="2:18" ht="1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3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4" customWidth="1"/>
    <col min="2" max="2" width="34.33203125" customWidth="1"/>
    <col min="3" max="3" width="27.77734375" customWidth="1"/>
  </cols>
  <sheetData>
    <row r="2" spans="2:3" ht="27" customHeight="1" x14ac:dyDescent="0.3">
      <c r="B2" s="81" t="s">
        <v>34</v>
      </c>
      <c r="C2" s="82"/>
    </row>
    <row r="3" spans="2:3" ht="27" customHeight="1" x14ac:dyDescent="0.3">
      <c r="B3" s="37" t="s">
        <v>32</v>
      </c>
      <c r="C3" s="38">
        <v>0.08</v>
      </c>
    </row>
    <row r="4" spans="2:3" ht="27" customHeight="1" x14ac:dyDescent="0.3">
      <c r="B4" s="37" t="s">
        <v>33</v>
      </c>
      <c r="C4" s="37">
        <v>75</v>
      </c>
    </row>
    <row r="5" spans="2:3" ht="21" customHeight="1" x14ac:dyDescent="0.3">
      <c r="B5" s="37" t="s">
        <v>41</v>
      </c>
      <c r="C5" s="37">
        <v>560</v>
      </c>
    </row>
    <row r="6" spans="2:3" x14ac:dyDescent="0.3">
      <c r="B6" s="37" t="s">
        <v>42</v>
      </c>
      <c r="C6" s="37">
        <v>570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2" customWidth="1"/>
  </cols>
  <sheetData>
    <row r="2" spans="2:3" ht="22.05" customHeight="1" x14ac:dyDescent="0.3">
      <c r="B2" s="83" t="s">
        <v>36</v>
      </c>
      <c r="C2" s="84"/>
    </row>
    <row r="3" spans="2:3" ht="22.05" customHeight="1" x14ac:dyDescent="0.3">
      <c r="B3" s="66" t="s">
        <v>37</v>
      </c>
      <c r="C3" s="68">
        <f>'2023'!P29+'2024'!P29</f>
        <v>1.8003896800064467</v>
      </c>
    </row>
    <row r="4" spans="2:3" ht="22.05" customHeight="1" x14ac:dyDescent="0.3">
      <c r="B4" s="67" t="s">
        <v>40</v>
      </c>
      <c r="C4" s="68">
        <f>'2023'!P12+'2024'!P12</f>
        <v>23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'2023'!ENTREE_ASTREINTE</vt:lpstr>
      <vt:lpstr>'2024'!ENTREE_ASTREINTE</vt:lpstr>
      <vt:lpstr>'2023'!ENTREES</vt:lpstr>
      <vt:lpstr>'2024'!ENTREES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'2023'!SORTIES_FRAIS_PEE_AMUNDI</vt:lpstr>
      <vt:lpstr>'2024'!SORTIES_FRAIS_PEE_AMUNDI</vt:lpstr>
      <vt:lpstr>'2023'!SORTIES_INTERESSEMENT_CSG_CRDS</vt:lpstr>
      <vt:lpstr>'2024'!SORTIES_INTERESSEMENT_CSG_CRDS</vt:lpstr>
      <vt:lpstr>'2023'!SORTIES_INTERESSEMENT_NET</vt:lpstr>
      <vt:lpstr>'2024'!SORTIES_INTERESSEMENT_NET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2024-02-28T21:16:42Z</dcterms:modified>
</cp:coreProperties>
</file>