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AA77D81F-F6C5-4FD2-9BEF-955A6B91E33A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'2025'!$B$38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'2025'!$B$37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'2025'!$B$35</definedName>
    <definedName name="SORTIES" localSheetId="0">'2023'!$B$21</definedName>
    <definedName name="SORTIES" localSheetId="1">'2024'!$B$21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'2025'!$B$28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'2025'!$B$30</definedName>
    <definedName name="SORTIES_FRAIS_PEE_AMUNDI" localSheetId="0">'2023'!#REF!</definedName>
    <definedName name="SORTIES_FRAIS_PEE_AMUNDI" localSheetId="1">'2024'!#REF!</definedName>
    <definedName name="SORTIES_FRAIS_PEE_AMUNDI" localSheetId="2">'2025'!$B$27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'2025'!$B$25</definedName>
    <definedName name="SORTIES_INTERESSMENET_CSG_CRDS">'2025'!$B$26</definedName>
    <definedName name="SORTIES_SALAIRE_NET" localSheetId="0">'2023'!$B$22</definedName>
    <definedName name="SORTIES_SALAIRE_NET" localSheetId="1">'2024'!$B$22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'2025'!$B$21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'2025'!$B$33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9" i="16" l="1"/>
  <c r="P30" i="16"/>
  <c r="P31" i="16"/>
  <c r="P32" i="16"/>
  <c r="K33" i="16"/>
  <c r="L33" i="16"/>
  <c r="M33" i="16"/>
  <c r="N33" i="16"/>
  <c r="J32" i="16" l="1"/>
  <c r="J28" i="16" l="1"/>
  <c r="J26" i="16"/>
  <c r="J25" i="16"/>
  <c r="J19" i="16"/>
  <c r="J27" i="16" l="1"/>
  <c r="J33" i="16" s="1"/>
  <c r="I26" i="16"/>
  <c r="I25" i="16"/>
  <c r="I28" i="16"/>
  <c r="I19" i="16"/>
  <c r="I27" i="16" l="1"/>
  <c r="I33" i="16" s="1"/>
  <c r="H26" i="16"/>
  <c r="H25" i="16"/>
  <c r="H28" i="16"/>
  <c r="H19" i="16"/>
  <c r="H27" i="16" l="1"/>
  <c r="H33" i="16" s="1"/>
  <c r="P13" i="16"/>
  <c r="P14" i="16"/>
  <c r="G26" i="16" l="1"/>
  <c r="G25" i="16"/>
  <c r="G28" i="16"/>
  <c r="G19" i="16"/>
  <c r="G27" i="16" l="1"/>
  <c r="G33" i="16" s="1"/>
  <c r="F28" i="16"/>
  <c r="F26" i="16"/>
  <c r="F25" i="16"/>
  <c r="F19" i="16"/>
  <c r="F27" i="16" l="1"/>
  <c r="F33" i="16" s="1"/>
  <c r="E26" i="16"/>
  <c r="P38" i="16"/>
  <c r="P37" i="16"/>
  <c r="E28" i="16"/>
  <c r="D28" i="16"/>
  <c r="C28" i="16"/>
  <c r="D26" i="16"/>
  <c r="C26" i="16"/>
  <c r="E25" i="16"/>
  <c r="D25" i="16"/>
  <c r="C25" i="16"/>
  <c r="P24" i="16"/>
  <c r="N21" i="16"/>
  <c r="M21" i="16"/>
  <c r="L21" i="16"/>
  <c r="K21" i="16"/>
  <c r="J21" i="16"/>
  <c r="I21" i="16"/>
  <c r="H21" i="16"/>
  <c r="H35" i="16" s="1"/>
  <c r="G21" i="16"/>
  <c r="F21" i="16"/>
  <c r="P20" i="16"/>
  <c r="E19" i="16"/>
  <c r="E21" i="16" s="1"/>
  <c r="D19" i="16"/>
  <c r="D21" i="16" s="1"/>
  <c r="C19" i="16"/>
  <c r="P16" i="16"/>
  <c r="P15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C23" i="15"/>
  <c r="C25" i="15" s="1"/>
  <c r="P22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G27" i="15" s="1"/>
  <c r="F17" i="15"/>
  <c r="F19" i="15" s="1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P22" i="14"/>
  <c r="H19" i="14"/>
  <c r="G19" i="14"/>
  <c r="F19" i="14"/>
  <c r="E19" i="14"/>
  <c r="D19" i="14"/>
  <c r="C19" i="14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7" i="16" l="1"/>
  <c r="E33" i="16" s="1"/>
  <c r="E35" i="16" s="1"/>
  <c r="J27" i="14"/>
  <c r="I35" i="16"/>
  <c r="J27" i="15"/>
  <c r="K27" i="14"/>
  <c r="F27" i="14"/>
  <c r="H27" i="14"/>
  <c r="D27" i="14"/>
  <c r="F27" i="15"/>
  <c r="I27" i="15"/>
  <c r="P33" i="14"/>
  <c r="N35" i="16"/>
  <c r="C4" i="13"/>
  <c r="C5" i="13" s="1"/>
  <c r="E27" i="15"/>
  <c r="M27" i="15"/>
  <c r="G35" i="16"/>
  <c r="P23" i="14"/>
  <c r="P17" i="15"/>
  <c r="K27" i="15"/>
  <c r="N27" i="14"/>
  <c r="C27" i="14"/>
  <c r="L27" i="14"/>
  <c r="P8" i="15"/>
  <c r="P8" i="14"/>
  <c r="E27" i="14"/>
  <c r="N27" i="15"/>
  <c r="P23" i="15"/>
  <c r="I27" i="14"/>
  <c r="G27" i="14"/>
  <c r="P28" i="16"/>
  <c r="F35" i="16"/>
  <c r="P8" i="16"/>
  <c r="P19" i="16"/>
  <c r="M35" i="16"/>
  <c r="J35" i="16"/>
  <c r="P25" i="16"/>
  <c r="K35" i="16"/>
  <c r="P26" i="16"/>
  <c r="L35" i="16"/>
  <c r="C21" i="16"/>
  <c r="P21" i="16" s="1"/>
  <c r="C27" i="16"/>
  <c r="L27" i="15"/>
  <c r="P25" i="14"/>
  <c r="M27" i="14"/>
  <c r="H27" i="15"/>
  <c r="P19" i="14"/>
  <c r="C19" i="15"/>
  <c r="D27" i="16"/>
  <c r="D33" i="16" s="1"/>
  <c r="P17" i="14"/>
  <c r="D25" i="15"/>
  <c r="P25" i="15" s="1"/>
  <c r="C33" i="16" l="1"/>
  <c r="C35" i="16" s="1"/>
  <c r="P27" i="14"/>
  <c r="P19" i="15"/>
  <c r="C27" i="15"/>
  <c r="P27" i="16"/>
  <c r="D27" i="15"/>
  <c r="P27" i="15" l="1"/>
  <c r="D35" i="16"/>
  <c r="P35" i="16" s="1"/>
  <c r="C3" i="13" s="1"/>
  <c r="P33" i="16"/>
</calcChain>
</file>

<file path=xl/sharedStrings.xml><?xml version="1.0" encoding="utf-8"?>
<sst xmlns="http://schemas.openxmlformats.org/spreadsheetml/2006/main" count="130" uniqueCount="54">
  <si>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</si>
  <si>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</si>
  <si>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</si>
  <si>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</si>
  <si>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</si>
  <si>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</si>
  <si>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</si>
  <si>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</si>
  <si>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</si>
  <si>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</si>
  <si>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</si>
  <si>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</si>
  <si>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</si>
  <si>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</si>
  <si>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</si>
  <si>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</si>
  <si>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</si>
  <si>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</si>
  <si>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</si>
  <si>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</si>
  <si>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</si>
  <si>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</si>
  <si>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</si>
  <si>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</si>
  <si>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</si>
  <si>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</si>
  <si>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</si>
  <si>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</si>
  <si>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</si>
  <si>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</si>
  <si>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</si>
  <si>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</si>
  <si>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</si>
  <si>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</si>
  <si>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</si>
  <si>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</si>
  <si>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</si>
  <si>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</si>
  <si>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</si>
  <si>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</si>
  <si>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</si>
  <si>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</si>
  <si>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</si>
  <si>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</si>
  <si>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</si>
  <si>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</si>
  <si>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</si>
  <si>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</si>
  <si>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</si>
  <si>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</si>
  <si>
    <t>Exceptionnel</t>
  </si>
  <si>
    <t>Paternité</t>
  </si>
  <si>
    <t>Achat HT</t>
  </si>
  <si>
    <t>Salaire Net Ilhem HOUIDI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</si>
</sst>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1" workbookViewId="0">
      <selection activeCell="I3" sqref="I3:N3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">
      <c r="N32" s="54" t="s">
        <v>42</v>
      </c>
      <c r="P32" s="61">
        <f>P29*0.665</f>
        <v>1963.0800000000002</v>
      </c>
    </row>
    <row r="33" spans="14:16" x14ac:dyDescent="0.3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opLeftCell="A4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">
      <c r="N32" s="54" t="s">
        <v>42</v>
      </c>
      <c r="P32" s="54">
        <f>(P29*0.374)+1457</f>
        <v>4610.5680000000002</v>
      </c>
    </row>
    <row r="33" spans="14:16" x14ac:dyDescent="0.3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8"/>
  <sheetViews>
    <sheetView tabSelected="1" topLeftCell="A18" workbookViewId="0">
      <selection activeCell="Q30" sqref="Q30"/>
    </sheetView>
  </sheetViews>
  <sheetFormatPr baseColWidth="10" defaultRowHeight="14.4" x14ac:dyDescent="0.3"/>
  <cols>
    <col min="1" max="1" width="3" customWidth="1"/>
    <col min="2" max="2" width="31" bestFit="1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/>
      <c r="L6" s="37"/>
      <c r="M6" s="37"/>
      <c r="N6" s="37"/>
      <c r="O6" s="36"/>
      <c r="P6" s="57">
        <f>SUM(C6:N6)</f>
        <v>160</v>
      </c>
    </row>
    <row r="7" spans="2:16" x14ac:dyDescent="0.3">
      <c r="B7" s="9" t="s">
        <v>21</v>
      </c>
      <c r="C7" s="37">
        <v>22</v>
      </c>
      <c r="D7" s="37">
        <v>20</v>
      </c>
      <c r="E7" s="37">
        <v>16</v>
      </c>
      <c r="F7" s="37">
        <v>21</v>
      </c>
      <c r="G7" s="37">
        <v>18</v>
      </c>
      <c r="H7" s="37">
        <v>15</v>
      </c>
      <c r="I7" s="37">
        <v>18</v>
      </c>
      <c r="J7" s="37">
        <v>20</v>
      </c>
      <c r="K7" s="37"/>
      <c r="L7" s="37"/>
      <c r="M7" s="37"/>
      <c r="N7" s="37"/>
      <c r="O7" s="36"/>
      <c r="P7" s="57">
        <f>SUM(C7:N7)</f>
        <v>150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-2</v>
      </c>
      <c r="H8" s="63">
        <f t="shared" si="0"/>
        <v>-5</v>
      </c>
      <c r="I8" s="63">
        <f t="shared" si="0"/>
        <v>-2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16</v>
      </c>
      <c r="F11" s="11">
        <v>21</v>
      </c>
      <c r="G11" s="11">
        <v>18</v>
      </c>
      <c r="H11" s="11">
        <v>15</v>
      </c>
      <c r="I11" s="11">
        <v>18</v>
      </c>
      <c r="J11" s="11">
        <v>20</v>
      </c>
      <c r="K11" s="11"/>
      <c r="L11" s="11"/>
      <c r="M11" s="11"/>
      <c r="N11" s="11"/>
      <c r="P11" s="58">
        <f>SUM(C11:N11)</f>
        <v>150</v>
      </c>
    </row>
    <row r="12" spans="2:16" x14ac:dyDescent="0.3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50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ref="P13:P14" si="1">SUM(C13:N13)</f>
        <v>3</v>
      </c>
    </row>
    <row r="14" spans="2:16" x14ac:dyDescent="0.3">
      <c r="B14" s="9" t="s">
        <v>51</v>
      </c>
      <c r="C14" s="12"/>
      <c r="D14" s="12"/>
      <c r="E14" s="12">
        <v>4</v>
      </c>
      <c r="F14" s="12"/>
      <c r="G14" s="12">
        <v>3</v>
      </c>
      <c r="H14" s="12">
        <v>9</v>
      </c>
      <c r="I14" s="12">
        <v>9</v>
      </c>
      <c r="J14" s="12"/>
      <c r="K14" s="12"/>
      <c r="L14" s="12"/>
      <c r="M14" s="12"/>
      <c r="N14" s="12"/>
      <c r="P14" s="58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>SUM(C15:N15)</f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>SUM(C16:N16)</f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12069</v>
      </c>
      <c r="D19" s="10">
        <f>D11*Params!$C$7*(1-Params!$C$3)-Params!$C$4</f>
        <v>10965</v>
      </c>
      <c r="E19" s="10">
        <f>E11*Params!$C$7*(1-Params!$C$3)-Params!$C$4</f>
        <v>8757</v>
      </c>
      <c r="F19" s="10">
        <f>F11*Params!$C$7*(1-Params!$C$3)-Params!$C$4</f>
        <v>11517</v>
      </c>
      <c r="G19" s="10">
        <f>G11*Params!$C$7*(1-Params!$C$3)-Params!$C$4</f>
        <v>9861</v>
      </c>
      <c r="H19" s="10">
        <f>H11*Params!$C$7*(1-Params!$C$3)-Params!$C$4</f>
        <v>8205</v>
      </c>
      <c r="I19" s="10">
        <f>I11*Params!$C$7*(1-Params!$C$3)-Params!$C$4</f>
        <v>9861</v>
      </c>
      <c r="J19" s="10">
        <f>J11*Params!$C$7*(1-Params!$C$3)-Params!$C$4</f>
        <v>10965</v>
      </c>
      <c r="K19" s="10"/>
      <c r="L19" s="10"/>
      <c r="M19" s="10"/>
      <c r="N19" s="10"/>
      <c r="O19" s="4"/>
      <c r="P19" s="41">
        <f>SUM(C19:N19)</f>
        <v>82200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12069</v>
      </c>
      <c r="D21" s="28">
        <f t="shared" si="2"/>
        <v>10965</v>
      </c>
      <c r="E21" s="28">
        <f t="shared" si="2"/>
        <v>8757</v>
      </c>
      <c r="F21" s="28">
        <f t="shared" si="2"/>
        <v>11517</v>
      </c>
      <c r="G21" s="28">
        <f t="shared" si="2"/>
        <v>9861</v>
      </c>
      <c r="H21" s="28">
        <f t="shared" si="2"/>
        <v>8205</v>
      </c>
      <c r="I21" s="28">
        <f t="shared" si="2"/>
        <v>9861</v>
      </c>
      <c r="J21" s="28">
        <f t="shared" si="2"/>
        <v>10965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82200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5213.87</v>
      </c>
      <c r="D24" s="10">
        <v>5213.87</v>
      </c>
      <c r="E24" s="10">
        <v>4742.91</v>
      </c>
      <c r="F24" s="10">
        <v>5213.87</v>
      </c>
      <c r="G24" s="10">
        <v>4744.24</v>
      </c>
      <c r="H24" s="10">
        <v>3805.2</v>
      </c>
      <c r="I24" s="10">
        <v>4036.44</v>
      </c>
      <c r="J24" s="10">
        <v>5213.87</v>
      </c>
      <c r="K24" s="10"/>
      <c r="L24" s="10"/>
      <c r="M24" s="10"/>
      <c r="N24" s="10"/>
      <c r="O24" s="4"/>
      <c r="P24" s="43">
        <f t="shared" ref="P24:P33" si="3">SUM(C24:N24)</f>
        <v>38184.270000000004</v>
      </c>
    </row>
    <row r="25" spans="2:16" x14ac:dyDescent="0.3">
      <c r="B25" s="9" t="s">
        <v>45</v>
      </c>
      <c r="C25" s="65">
        <f>(6462.87/5)*(1-9.7%)</f>
        <v>1167.1943220000001</v>
      </c>
      <c r="D25" s="65">
        <f>(6462.87/5)*(1-9.7%)</f>
        <v>1167.1943220000001</v>
      </c>
      <c r="E25" s="65">
        <f>(5885/5)*(1-9.7%)</f>
        <v>1062.8310000000001</v>
      </c>
      <c r="F25" s="65">
        <f>(6462.87/5)*(1-9.7%)</f>
        <v>1167.1943220000001</v>
      </c>
      <c r="G25" s="65">
        <f>(5885/5)*(1-9.7%)</f>
        <v>1062.8310000000001</v>
      </c>
      <c r="H25" s="65">
        <f>(4729.26/5)*(1-9.7%)</f>
        <v>854.10435600000005</v>
      </c>
      <c r="I25" s="65">
        <f>(5018.19/5)*(1-9.7%)</f>
        <v>906.28511399999991</v>
      </c>
      <c r="J25" s="65">
        <f>(6462.87/5)*(1-9.7%)</f>
        <v>1167.1943220000001</v>
      </c>
      <c r="K25" s="65"/>
      <c r="L25" s="65"/>
      <c r="M25" s="65"/>
      <c r="N25" s="65"/>
      <c r="O25" s="4"/>
      <c r="P25" s="43">
        <f t="shared" si="3"/>
        <v>8554.8287579999997</v>
      </c>
    </row>
    <row r="26" spans="2:16" x14ac:dyDescent="0.3">
      <c r="B26" s="66" t="s">
        <v>46</v>
      </c>
      <c r="C26" s="67">
        <f>(6462.87/5)*9.7%</f>
        <v>125.379678</v>
      </c>
      <c r="D26" s="67">
        <f>(6462.87/5)*9.7%</f>
        <v>125.379678</v>
      </c>
      <c r="E26" s="67">
        <f>(5885/5)*9.7%</f>
        <v>114.16899999999998</v>
      </c>
      <c r="F26" s="67">
        <f>(6462.87/5)*9.7%</f>
        <v>125.379678</v>
      </c>
      <c r="G26" s="67">
        <f>(5885/5)*9.7%</f>
        <v>114.16899999999998</v>
      </c>
      <c r="H26" s="67">
        <f>(4729.26/5)*9.7%</f>
        <v>91.747643999999994</v>
      </c>
      <c r="I26" s="67">
        <f>(5018.19/5)*9.7%</f>
        <v>97.352885999999984</v>
      </c>
      <c r="J26" s="67">
        <f>(6462.87/5)*9.7%</f>
        <v>125.379678</v>
      </c>
      <c r="K26" s="67"/>
      <c r="L26" s="67"/>
      <c r="M26" s="67"/>
      <c r="N26" s="67"/>
      <c r="O26" s="4"/>
      <c r="P26" s="43">
        <f t="shared" si="3"/>
        <v>918.95724200000006</v>
      </c>
    </row>
    <row r="27" spans="2:16" x14ac:dyDescent="0.3">
      <c r="B27" s="66" t="s">
        <v>47</v>
      </c>
      <c r="C27" s="67">
        <f t="shared" ref="C27:H27" si="4">C25*0.02</f>
        <v>23.343886440000002</v>
      </c>
      <c r="D27" s="67">
        <f t="shared" si="4"/>
        <v>23.343886440000002</v>
      </c>
      <c r="E27" s="67">
        <f t="shared" si="4"/>
        <v>21.256620000000002</v>
      </c>
      <c r="F27" s="67">
        <f t="shared" si="4"/>
        <v>23.343886440000002</v>
      </c>
      <c r="G27" s="67">
        <f t="shared" si="4"/>
        <v>21.256620000000002</v>
      </c>
      <c r="H27" s="67">
        <f t="shared" si="4"/>
        <v>17.082087120000001</v>
      </c>
      <c r="I27" s="67">
        <f t="shared" ref="I27:J27" si="5">I25*0.02</f>
        <v>18.125702279999999</v>
      </c>
      <c r="J27" s="67">
        <f t="shared" si="5"/>
        <v>23.343886440000002</v>
      </c>
      <c r="K27" s="67"/>
      <c r="L27" s="67"/>
      <c r="M27" s="67"/>
      <c r="N27" s="67"/>
      <c r="O27" s="4"/>
      <c r="P27" s="43">
        <f t="shared" si="3"/>
        <v>171.09657516000004</v>
      </c>
    </row>
    <row r="28" spans="2:16" x14ac:dyDescent="0.3">
      <c r="B28" s="9" t="s">
        <v>8</v>
      </c>
      <c r="C28" s="10">
        <f>1249+2719.31</f>
        <v>3968.31</v>
      </c>
      <c r="D28" s="10">
        <f>1249+2718.02</f>
        <v>3967.02</v>
      </c>
      <c r="E28" s="10">
        <f>1142.09+2481.13</f>
        <v>3623.2200000000003</v>
      </c>
      <c r="F28" s="10">
        <f>1249+2708.68</f>
        <v>3957.68</v>
      </c>
      <c r="G28" s="10">
        <f>1140.76+2471.18</f>
        <v>3611.9399999999996</v>
      </c>
      <c r="H28" s="10">
        <f>924.06+1996.04</f>
        <v>2920.1</v>
      </c>
      <c r="I28" s="10">
        <f>981.75+2116.43</f>
        <v>3098.18</v>
      </c>
      <c r="J28" s="10">
        <f>1249+2708.68</f>
        <v>3957.68</v>
      </c>
      <c r="K28" s="10"/>
      <c r="L28" s="10"/>
      <c r="M28" s="10"/>
      <c r="N28" s="10"/>
      <c r="O28" s="4"/>
      <c r="P28" s="43">
        <f t="shared" si="3"/>
        <v>29104.129999999997</v>
      </c>
    </row>
    <row r="29" spans="2:16" x14ac:dyDescent="0.3">
      <c r="B29" s="55" t="s">
        <v>52</v>
      </c>
      <c r="C29" s="10"/>
      <c r="D29" s="10"/>
      <c r="E29" s="10"/>
      <c r="F29" s="10"/>
      <c r="G29" s="10">
        <v>186.03</v>
      </c>
      <c r="H29" s="10"/>
      <c r="I29" s="10"/>
      <c r="J29" s="10"/>
      <c r="K29" s="10"/>
      <c r="L29" s="10"/>
      <c r="M29" s="10"/>
      <c r="N29" s="10"/>
      <c r="O29" s="4"/>
      <c r="P29" s="43">
        <f t="shared" si="3"/>
        <v>186.03</v>
      </c>
    </row>
    <row r="30" spans="2:16" x14ac:dyDescent="0.3">
      <c r="B30" s="55" t="s">
        <v>40</v>
      </c>
      <c r="C30" s="10">
        <v>379.75200000000001</v>
      </c>
      <c r="D30" s="10">
        <v>354.32</v>
      </c>
      <c r="E30" s="10">
        <v>303.45600000000002</v>
      </c>
      <c r="F30" s="10">
        <v>367.04</v>
      </c>
      <c r="G30" s="10">
        <v>328.89</v>
      </c>
      <c r="H30" s="10">
        <v>290.74</v>
      </c>
      <c r="I30" s="10">
        <v>328.89</v>
      </c>
      <c r="J30" s="10">
        <v>354.32</v>
      </c>
      <c r="K30" s="10"/>
      <c r="L30" s="10"/>
      <c r="M30" s="10"/>
      <c r="N30" s="10"/>
      <c r="O30" s="4"/>
      <c r="P30" s="43">
        <f t="shared" si="3"/>
        <v>2707.4080000000004</v>
      </c>
    </row>
    <row r="31" spans="2:16" x14ac:dyDescent="0.3">
      <c r="B31" s="55" t="s">
        <v>53</v>
      </c>
      <c r="C31" s="10"/>
      <c r="D31" s="10"/>
      <c r="E31" s="10"/>
      <c r="F31" s="10"/>
      <c r="G31" s="10"/>
      <c r="H31" s="10"/>
      <c r="I31" s="10"/>
      <c r="J31" s="10">
        <v>1761.89</v>
      </c>
      <c r="K31" s="10"/>
      <c r="L31" s="10"/>
      <c r="M31" s="10"/>
      <c r="N31" s="10"/>
      <c r="O31" s="4"/>
      <c r="P31" s="43">
        <f t="shared" si="3"/>
        <v>1761.89</v>
      </c>
    </row>
    <row r="32" spans="2:16" x14ac:dyDescent="0.3">
      <c r="B32" s="55" t="s">
        <v>8</v>
      </c>
      <c r="C32" s="10"/>
      <c r="D32" s="10"/>
      <c r="E32" s="10"/>
      <c r="F32" s="10"/>
      <c r="G32" s="10"/>
      <c r="H32" s="10"/>
      <c r="I32" s="10"/>
      <c r="J32" s="10">
        <f>416.11+78.88</f>
        <v>494.99</v>
      </c>
      <c r="K32" s="10"/>
      <c r="L32" s="10"/>
      <c r="M32" s="10"/>
      <c r="N32" s="10"/>
      <c r="O32" s="4"/>
      <c r="P32" s="43">
        <f t="shared" si="3"/>
        <v>494.99</v>
      </c>
    </row>
    <row r="33" spans="2:16" x14ac:dyDescent="0.3">
      <c r="B33" s="8" t="s">
        <v>3</v>
      </c>
      <c r="C33" s="44">
        <f t="shared" ref="C33:N33" si="6">SUM(C24:C32)</f>
        <v>10877.849886440001</v>
      </c>
      <c r="D33" s="44">
        <f t="shared" si="6"/>
        <v>10851.127886439999</v>
      </c>
      <c r="E33" s="44">
        <f t="shared" si="6"/>
        <v>9867.8426200000013</v>
      </c>
      <c r="F33" s="44">
        <f t="shared" si="6"/>
        <v>10854.50788644</v>
      </c>
      <c r="G33" s="44">
        <f t="shared" si="6"/>
        <v>10069.35662</v>
      </c>
      <c r="H33" s="44">
        <f t="shared" si="6"/>
        <v>7978.9740871199992</v>
      </c>
      <c r="I33" s="44">
        <f t="shared" si="6"/>
        <v>8485.2737022799993</v>
      </c>
      <c r="J33" s="44">
        <f t="shared" si="6"/>
        <v>13098.667886439998</v>
      </c>
      <c r="K33" s="44">
        <f t="shared" si="6"/>
        <v>0</v>
      </c>
      <c r="L33" s="44">
        <f t="shared" si="6"/>
        <v>0</v>
      </c>
      <c r="M33" s="44">
        <f t="shared" si="6"/>
        <v>0</v>
      </c>
      <c r="N33" s="44">
        <f t="shared" si="6"/>
        <v>0</v>
      </c>
      <c r="O33" s="4"/>
      <c r="P33" s="60">
        <f t="shared" si="3"/>
        <v>82083.600575160002</v>
      </c>
    </row>
    <row r="34" spans="2:16" x14ac:dyDescent="0.3">
      <c r="B34" s="4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5"/>
    </row>
    <row r="35" spans="2:16" x14ac:dyDescent="0.3">
      <c r="B35" s="46" t="s">
        <v>36</v>
      </c>
      <c r="C35" s="47">
        <f t="shared" ref="C35:N35" si="7">C21-C33</f>
        <v>1191.1501135599992</v>
      </c>
      <c r="D35" s="47">
        <f t="shared" si="7"/>
        <v>113.8721135600008</v>
      </c>
      <c r="E35" s="47">
        <f t="shared" si="7"/>
        <v>-1110.8426200000013</v>
      </c>
      <c r="F35" s="47">
        <f t="shared" si="7"/>
        <v>662.49211355999978</v>
      </c>
      <c r="G35" s="47">
        <f t="shared" si="7"/>
        <v>-208.35662000000048</v>
      </c>
      <c r="H35" s="47">
        <f t="shared" si="7"/>
        <v>226.02591288000076</v>
      </c>
      <c r="I35" s="47">
        <f t="shared" si="7"/>
        <v>1375.7262977200007</v>
      </c>
      <c r="J35" s="47">
        <f t="shared" si="7"/>
        <v>-2133.6678864399983</v>
      </c>
      <c r="K35" s="47">
        <f t="shared" si="7"/>
        <v>0</v>
      </c>
      <c r="L35" s="47">
        <f t="shared" si="7"/>
        <v>0</v>
      </c>
      <c r="M35" s="47">
        <f t="shared" si="7"/>
        <v>0</v>
      </c>
      <c r="N35" s="47">
        <f t="shared" si="7"/>
        <v>0</v>
      </c>
      <c r="P35" s="59">
        <f>SUM(C35:O35)</f>
        <v>116.3994248400013</v>
      </c>
    </row>
    <row r="37" spans="2:16" x14ac:dyDescent="0.3">
      <c r="B37" s="62" t="s">
        <v>37</v>
      </c>
      <c r="C37" s="54">
        <v>748</v>
      </c>
      <c r="D37" s="54">
        <v>680</v>
      </c>
      <c r="E37" s="54">
        <v>544</v>
      </c>
      <c r="F37" s="54">
        <v>714</v>
      </c>
      <c r="G37" s="54">
        <v>612</v>
      </c>
      <c r="H37" s="54">
        <v>510</v>
      </c>
      <c r="I37" s="54">
        <v>612</v>
      </c>
      <c r="J37" s="54">
        <v>680</v>
      </c>
      <c r="K37" s="54"/>
      <c r="L37" s="54"/>
      <c r="M37" s="54"/>
      <c r="N37" s="54"/>
      <c r="P37" s="61">
        <f>SUM(C37:N37)</f>
        <v>5100</v>
      </c>
    </row>
    <row r="38" spans="2:16" x14ac:dyDescent="0.3">
      <c r="B38" s="62" t="s">
        <v>38</v>
      </c>
      <c r="C38" s="54">
        <v>379.75200000000001</v>
      </c>
      <c r="D38" s="54">
        <v>354.32</v>
      </c>
      <c r="E38" s="54">
        <v>303.45600000000002</v>
      </c>
      <c r="F38" s="54">
        <v>367.04</v>
      </c>
      <c r="G38" s="54">
        <v>328.89</v>
      </c>
      <c r="H38" s="54">
        <v>290.74</v>
      </c>
      <c r="I38" s="54">
        <v>328.89</v>
      </c>
      <c r="J38" s="54">
        <v>354.32</v>
      </c>
      <c r="K38" s="54"/>
      <c r="L38" s="54"/>
      <c r="M38" s="54"/>
      <c r="N38" s="54"/>
      <c r="P38" s="61">
        <f>SUM(C38:N38)</f>
        <v>2707.4080000000004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520</v>
      </c>
    </row>
    <row r="6" spans="2:3" ht="29.25" customHeight="1" x14ac:dyDescent="0.3">
      <c r="B6" s="64" t="s">
        <v>44</v>
      </c>
      <c r="C6" s="33">
        <v>570</v>
      </c>
    </row>
    <row r="7" spans="2:3" x14ac:dyDescent="0.3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'2023'!P27+'2024'!P27+'2025'!P35</f>
        <v>11455.263424840005</v>
      </c>
    </row>
    <row r="4" spans="2:3" ht="16.95" customHeight="1" x14ac:dyDescent="0.3">
      <c r="B4" s="38" t="s">
        <v>39</v>
      </c>
      <c r="C4" s="40">
        <f>'2023'!P12+'2024'!P12+'2025'!P12</f>
        <v>7</v>
      </c>
    </row>
    <row r="5" spans="2:3" x14ac:dyDescent="0.3">
      <c r="B5" t="s">
        <v>48</v>
      </c>
      <c r="C5">
        <f>(6*2.08)+(20*1)-C4</f>
        <v>25.480000000000004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2025-09-11T13:10:38Z</dcterms:modified>
</cp:coreProperties>
</file>