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8\Normal\"/>
    </mc:Choice>
  </mc:AlternateContent>
  <xr:revisionPtr revIDLastSave="0" documentId="13_ncr:1_{F55B47B6-E6CE-4CA1-B6D3-D18CD2402FFF}" xr6:coauthVersionLast="47" xr6:coauthVersionMax="47" xr10:uidLastSave="{00000000-0000-0000-0000-000000000000}"/>
  <bookViews>
    <workbookView xWindow="-108" yWindow="-108" windowWidth="23256" windowHeight="14856" activeTab="1" xr2:uid="{00000000-000D-0000-FFFF-FFFF00000000}"/>
  </bookViews>
  <sheets>
    <sheet name="2023" sheetId="14" r:id="rId1"/>
    <sheet name="2024" sheetId="15" r:id="rId2"/>
    <sheet name="2025" sheetId="16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'2024'!$B$16</definedName>
    <definedName name="ENTREES" localSheetId="2">'2025'!$B$16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 localSheetId="2">'2025'!$B$18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0">'2023'!$B$30</definedName>
    <definedName name="FRAIS_KM" localSheetId="1">'2024'!$B$32</definedName>
    <definedName name="FRAIS_KM" localSheetId="2">'2025'!$B$36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0">'2023'!$B$29</definedName>
    <definedName name="NOMBRE_KM" localSheetId="1">'2024'!$B$31</definedName>
    <definedName name="NOMBRE_KM" localSheetId="2">'2025'!$B$35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'2023'!$B$27</definedName>
    <definedName name="SOLDE" localSheetId="1">'2024'!$B$29</definedName>
    <definedName name="SOLDE" localSheetId="2">'2025'!$B$33</definedName>
    <definedName name="SORTIES" localSheetId="0">'2023'!$B$21</definedName>
    <definedName name="SORTIES" localSheetId="1">'2024'!$B$22</definedName>
    <definedName name="SORTIES" localSheetId="2">'2025'!$B$22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'2024'!$B$24</definedName>
    <definedName name="SORTIES_CHARGES_SOCIALES_PATRONALES" localSheetId="2">'2025'!$B$24</definedName>
    <definedName name="SORTIES_CHARGES_SOCIALES_PATRONALES">#REF!</definedName>
    <definedName name="SORTIES_FRAIS_KM" localSheetId="0">'2023'!$B$24</definedName>
    <definedName name="SORTIES_FRAIS_KM" localSheetId="1">'2024'!$B$25</definedName>
    <definedName name="SORTIES_FRAIS_KM" localSheetId="2">'2025'!$B$25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'2024'!$B$23</definedName>
    <definedName name="SORTIES_SALAIRE_NET" localSheetId="2">'2025'!$B$23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'2024'!$B$20</definedName>
    <definedName name="TOTAL_ENTREES" localSheetId="2">'2025'!$B$20</definedName>
    <definedName name="TOTAL_ENTREES">#REF!</definedName>
    <definedName name="TOTAL_SORTIES" localSheetId="0">'2023'!$B$25</definedName>
    <definedName name="TOTAL_SORTIES" localSheetId="1">'2024'!$B$27</definedName>
    <definedName name="TOTAL_SORTIES" localSheetId="2">'2025'!$B$29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28" i="16" l="1"/>
  <c r="C5" i="13"/>
  <c r="P31" i="16"/>
  <c r="J24" i="16" l="1"/>
  <c r="J17" i="16" l="1"/>
  <c r="J29" i="16" l="1"/>
  <c r="K29" i="16"/>
  <c r="L29" i="16"/>
  <c r="M29" i="16"/>
  <c r="N29" i="16"/>
  <c r="I24" i="16" l="1"/>
  <c r="I29" i="16" s="1"/>
  <c r="I17" i="16" l="1"/>
  <c r="H24" i="16" l="1"/>
  <c r="H29" i="16" s="1"/>
  <c r="H17" i="16" l="1"/>
  <c r="G24" i="16" l="1"/>
  <c r="G29" i="16" s="1"/>
  <c r="G17" i="16"/>
  <c r="F24" i="16" l="1"/>
  <c r="F29" i="16" s="1"/>
  <c r="F17" i="16" l="1"/>
  <c r="P36" i="16" l="1"/>
  <c r="P35" i="16"/>
  <c r="P27" i="16"/>
  <c r="P26" i="16"/>
  <c r="P25" i="16"/>
  <c r="E24" i="16"/>
  <c r="E29" i="16" s="1"/>
  <c r="D24" i="16"/>
  <c r="D29" i="16" s="1"/>
  <c r="C24" i="16"/>
  <c r="C29" i="16" s="1"/>
  <c r="P23" i="16"/>
  <c r="N20" i="16"/>
  <c r="N33" i="16" s="1"/>
  <c r="M20" i="16"/>
  <c r="M33" i="16" s="1"/>
  <c r="L20" i="16"/>
  <c r="L33" i="16" s="1"/>
  <c r="K20" i="16"/>
  <c r="K33" i="16" s="1"/>
  <c r="J20" i="16"/>
  <c r="J33" i="16" s="1"/>
  <c r="I20" i="16"/>
  <c r="I33" i="16" s="1"/>
  <c r="H20" i="16"/>
  <c r="H33" i="16" s="1"/>
  <c r="G20" i="16"/>
  <c r="G33" i="16" s="1"/>
  <c r="F20" i="16"/>
  <c r="P18" i="16"/>
  <c r="E17" i="16"/>
  <c r="E20" i="16" s="1"/>
  <c r="D17" i="16"/>
  <c r="D20" i="16" s="1"/>
  <c r="C17" i="16"/>
  <c r="C20" i="16" s="1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P32" i="15"/>
  <c r="P31" i="15"/>
  <c r="P34" i="15" s="1"/>
  <c r="D26" i="15"/>
  <c r="P26" i="15" s="1"/>
  <c r="P25" i="15"/>
  <c r="N24" i="15"/>
  <c r="N27" i="15" s="1"/>
  <c r="M24" i="15"/>
  <c r="M27" i="15" s="1"/>
  <c r="L24" i="15"/>
  <c r="L27" i="15" s="1"/>
  <c r="K24" i="15"/>
  <c r="K27" i="15" s="1"/>
  <c r="J24" i="15"/>
  <c r="J27" i="15" s="1"/>
  <c r="I24" i="15"/>
  <c r="I27" i="15" s="1"/>
  <c r="H24" i="15"/>
  <c r="H27" i="15" s="1"/>
  <c r="G24" i="15"/>
  <c r="G27" i="15" s="1"/>
  <c r="F24" i="15"/>
  <c r="F27" i="15" s="1"/>
  <c r="E24" i="15"/>
  <c r="E27" i="15" s="1"/>
  <c r="D24" i="15"/>
  <c r="C24" i="15"/>
  <c r="C27" i="15" s="1"/>
  <c r="P23" i="15"/>
  <c r="P18" i="15"/>
  <c r="N17" i="15"/>
  <c r="N20" i="15" s="1"/>
  <c r="M17" i="15"/>
  <c r="M20" i="15" s="1"/>
  <c r="M29" i="15" s="1"/>
  <c r="L17" i="15"/>
  <c r="L20" i="15" s="1"/>
  <c r="K17" i="15"/>
  <c r="K20" i="15" s="1"/>
  <c r="K29" i="15" s="1"/>
  <c r="J17" i="15"/>
  <c r="J20" i="15" s="1"/>
  <c r="I17" i="15"/>
  <c r="I20" i="15" s="1"/>
  <c r="H17" i="15"/>
  <c r="H20" i="15" s="1"/>
  <c r="G17" i="15"/>
  <c r="G20" i="15" s="1"/>
  <c r="F17" i="15"/>
  <c r="F20" i="15" s="1"/>
  <c r="E17" i="15"/>
  <c r="E20" i="15" s="1"/>
  <c r="E29" i="15" s="1"/>
  <c r="D17" i="15"/>
  <c r="D20" i="15" s="1"/>
  <c r="C17" i="15"/>
  <c r="C20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0" i="14"/>
  <c r="P29" i="14"/>
  <c r="P32" i="14" s="1"/>
  <c r="F25" i="14"/>
  <c r="E25" i="14"/>
  <c r="D25" i="14"/>
  <c r="C25" i="14"/>
  <c r="P24" i="14"/>
  <c r="N23" i="14"/>
  <c r="N25" i="14" s="1"/>
  <c r="M23" i="14"/>
  <c r="M25" i="14" s="1"/>
  <c r="L23" i="14"/>
  <c r="L25" i="14" s="1"/>
  <c r="K23" i="14"/>
  <c r="K25" i="14" s="1"/>
  <c r="J23" i="14"/>
  <c r="I23" i="14"/>
  <c r="I25" i="14" s="1"/>
  <c r="H23" i="14"/>
  <c r="H25" i="14" s="1"/>
  <c r="G23" i="14"/>
  <c r="G25" i="14" s="1"/>
  <c r="P22" i="14"/>
  <c r="H19" i="14"/>
  <c r="F19" i="14"/>
  <c r="F27" i="14" s="1"/>
  <c r="E19" i="14"/>
  <c r="E27" i="14" s="1"/>
  <c r="D19" i="14"/>
  <c r="D27" i="14" s="1"/>
  <c r="C19" i="14"/>
  <c r="P18" i="14"/>
  <c r="N17" i="14"/>
  <c r="N19" i="14" s="1"/>
  <c r="M17" i="14"/>
  <c r="M19" i="14" s="1"/>
  <c r="L17" i="14"/>
  <c r="L19" i="14" s="1"/>
  <c r="K17" i="14"/>
  <c r="K19" i="14" s="1"/>
  <c r="J17" i="14"/>
  <c r="J19" i="14" s="1"/>
  <c r="I17" i="14"/>
  <c r="I19" i="14" s="1"/>
  <c r="I27" i="14" s="1"/>
  <c r="H17" i="14"/>
  <c r="G17" i="14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P35" i="15" l="1"/>
  <c r="P8" i="15"/>
  <c r="N27" i="14"/>
  <c r="K27" i="14"/>
  <c r="P33" i="14"/>
  <c r="J29" i="15"/>
  <c r="P17" i="16"/>
  <c r="P17" i="14"/>
  <c r="L27" i="14"/>
  <c r="P8" i="14"/>
  <c r="C27" i="14"/>
  <c r="H29" i="15"/>
  <c r="D27" i="15"/>
  <c r="D29" i="15" s="1"/>
  <c r="I29" i="15"/>
  <c r="G29" i="15"/>
  <c r="H27" i="14"/>
  <c r="P23" i="14"/>
  <c r="E33" i="16"/>
  <c r="C4" i="13"/>
  <c r="F33" i="16"/>
  <c r="P8" i="16"/>
  <c r="D33" i="16"/>
  <c r="P27" i="15"/>
  <c r="P20" i="16"/>
  <c r="P20" i="15"/>
  <c r="C29" i="15"/>
  <c r="L29" i="15"/>
  <c r="M27" i="14"/>
  <c r="F29" i="15"/>
  <c r="N29" i="15"/>
  <c r="P24" i="15"/>
  <c r="G19" i="14"/>
  <c r="G27" i="14" s="1"/>
  <c r="P24" i="16"/>
  <c r="P17" i="15"/>
  <c r="J25" i="14"/>
  <c r="P25" i="14" s="1"/>
  <c r="P19" i="14" l="1"/>
  <c r="P29" i="15"/>
  <c r="J27" i="14"/>
  <c r="P27" i="14" s="1"/>
  <c r="P29" i="16"/>
  <c r="C33" i="16"/>
  <c r="P33" i="16" s="1"/>
  <c r="C3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27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Acompte a remboursé 1500 par mois a partir de janvier
</t>
        </r>
      </text>
    </comment>
  </commentList>
</comments>
</file>

<file path=xl/sharedStrings.xml><?xml version="1.0" encoding="utf-8"?>
<sst xmlns="http://schemas.openxmlformats.org/spreadsheetml/2006/main" count="127" uniqueCount="49">
  <si>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</si>
  <si>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</si>
  <si>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</si>
  <si>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</si>
  <si>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</si>
  <si>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</si>
  <si>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</si>
  <si>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</si>
  <si>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</si>
  <si>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</si>
  <si>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</si>
  <si>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</si>
  <si>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</si>
  <si>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</si>
  <si>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</si>
  <si>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</si>
  <si>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</si>
  <si>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</si>
  <si>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</si>
  <si>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</si>
  <si>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</si>
  <si>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</si>
  <si>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</si>
  <si>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</si>
  <si>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</si>
  <si>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</si>
  <si>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</si>
  <si>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</si>
  <si>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</si>
  <si>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</si>
  <si>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</si>
  <si>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</si>
  <si>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</si>
  <si>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</si>
  <si>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</si>
  <si>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</si>
  <si>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</si>
  <si>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</si>
  <si>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</si>
  <si>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</si>
  <si>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</si>
  <si>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(Mai 2023)</t>
  </si>
  <si>
    <t>Frais KM annuel à payer</t>
  </si>
  <si>
    <t>Régularisation Frais KM</t>
  </si>
  <si>
    <t>Frais Refacturés</t>
  </si>
  <si>
    <t>Acompte versé</t>
  </si>
  <si>
    <t>Acompte Remboursé</t>
  </si>
  <si>
    <t>Solde Congé</t>
  </si>
  <si>
    <t>Achat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</si>
</sst>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4" fontId="1" fillId="0" borderId="2" xfId="0" applyNumberFormat="1" applyFont="1" applyBorder="1" applyAlignment="1">
      <alignment horizontal="center" vertical="center"/>
    </xf>
    <xf numFmtId="0" fontId="0" fillId="12" borderId="5" xfId="0" applyFill="1" applyBorder="1" applyProtection="1">
      <protection locked="0"/>
    </xf>
    <xf numFmtId="4" fontId="4" fillId="12" borderId="5" xfId="0" applyNumberFormat="1" applyFont="1" applyFill="1" applyBorder="1"/>
    <xf numFmtId="4" fontId="1" fillId="12" borderId="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3"/>
  <sheetViews>
    <sheetView topLeftCell="B2" workbookViewId="0">
      <selection activeCell="G3" sqref="G3:N3"/>
    </sheetView>
  </sheetViews>
  <sheetFormatPr baseColWidth="10" defaultRowHeight="14.4" x14ac:dyDescent="0.3"/>
  <cols>
    <col min="1" max="1" width="3" customWidth="1"/>
    <col min="2" max="2" width="28" customWidth="1"/>
    <col min="14" max="14" width="18.77734375" bestFit="1" customWidth="1"/>
    <col min="15" max="15" width="4" customWidth="1"/>
    <col min="16" max="16" width="11" style="48" customWidth="1"/>
  </cols>
  <sheetData>
    <row r="1" spans="2:16" x14ac:dyDescent="0.3">
      <c r="B1" s="69" t="s">
        <v>9</v>
      </c>
    </row>
    <row r="2" spans="2:16" x14ac:dyDescent="0.3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15</v>
      </c>
      <c r="O6" s="36"/>
      <c r="P6" s="57">
        <f>SUM(C6:N6)</f>
        <v>148</v>
      </c>
    </row>
    <row r="7" spans="2:16" x14ac:dyDescent="0.3">
      <c r="B7" s="9" t="s">
        <v>21</v>
      </c>
      <c r="C7" s="37"/>
      <c r="D7" s="37"/>
      <c r="E7" s="37"/>
      <c r="F7" s="37"/>
      <c r="G7" s="37">
        <v>19</v>
      </c>
      <c r="H7" s="37">
        <v>16</v>
      </c>
      <c r="I7" s="37">
        <v>17</v>
      </c>
      <c r="J7" s="37">
        <v>15</v>
      </c>
      <c r="K7" s="37">
        <v>20</v>
      </c>
      <c r="L7" s="37">
        <v>22</v>
      </c>
      <c r="M7" s="37">
        <v>20</v>
      </c>
      <c r="N7" s="37">
        <v>19</v>
      </c>
      <c r="O7" s="36"/>
      <c r="P7" s="57">
        <f>SUM(C7:N7)</f>
        <v>148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-3</v>
      </c>
      <c r="I8" s="63">
        <f t="shared" si="0"/>
        <v>-2</v>
      </c>
      <c r="J8" s="63">
        <f t="shared" si="0"/>
        <v>-4</v>
      </c>
      <c r="K8" s="63">
        <f t="shared" si="0"/>
        <v>1</v>
      </c>
      <c r="L8" s="63">
        <f t="shared" si="0"/>
        <v>3</v>
      </c>
      <c r="M8" s="63">
        <f t="shared" si="0"/>
        <v>1</v>
      </c>
      <c r="N8" s="63">
        <f t="shared" si="0"/>
        <v>4</v>
      </c>
      <c r="O8" s="36"/>
      <c r="P8" s="57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>
        <v>19</v>
      </c>
      <c r="H11" s="11">
        <v>16</v>
      </c>
      <c r="I11" s="11">
        <v>17</v>
      </c>
      <c r="J11" s="11">
        <v>15</v>
      </c>
      <c r="K11" s="11">
        <v>20</v>
      </c>
      <c r="L11" s="11">
        <v>22</v>
      </c>
      <c r="M11" s="11">
        <v>20</v>
      </c>
      <c r="N11" s="11">
        <v>19</v>
      </c>
      <c r="P11" s="58">
        <f>SUM(C11:N11)</f>
        <v>148</v>
      </c>
    </row>
    <row r="12" spans="2:16" x14ac:dyDescent="0.3">
      <c r="B12" s="9" t="s">
        <v>16</v>
      </c>
      <c r="C12" s="12"/>
      <c r="D12" s="12"/>
      <c r="E12" s="12"/>
      <c r="F12" s="12"/>
      <c r="G12" s="12">
        <v>1</v>
      </c>
      <c r="H12" s="12">
        <v>6</v>
      </c>
      <c r="I12" s="12">
        <v>3</v>
      </c>
      <c r="J12" s="12">
        <v>0</v>
      </c>
      <c r="K12" s="12">
        <v>1</v>
      </c>
      <c r="L12" s="12"/>
      <c r="M12" s="12">
        <v>1</v>
      </c>
      <c r="N12" s="12">
        <v>1</v>
      </c>
      <c r="P12" s="58">
        <f>SUM(C12:N12)</f>
        <v>13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>
        <v>7</v>
      </c>
      <c r="K13" s="12"/>
      <c r="L13" s="12"/>
      <c r="M13" s="12"/>
      <c r="N13" s="12"/>
      <c r="P13" s="58">
        <f>SUM(C13:N13)</f>
        <v>7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>
        <f>G11*Params!$C$5*(1-Params!$C$3)-Params!$C$4</f>
        <v>8665</v>
      </c>
      <c r="H17" s="10">
        <f>H11*Params!$C$5*(1-Params!$C$3)-Params!$C$4</f>
        <v>7285</v>
      </c>
      <c r="I17" s="10">
        <f>I11*Params!$C$5*(1-Params!$C$3)-Params!$C$4</f>
        <v>7745</v>
      </c>
      <c r="J17" s="10">
        <f>J11*Params!$C$5*(1-Params!$C$3)-Params!$C$4</f>
        <v>6825</v>
      </c>
      <c r="K17" s="10">
        <f>K11*Params!$C$5*(1-Params!$C$3)-Params!$C$4</f>
        <v>9125</v>
      </c>
      <c r="L17" s="10">
        <f>L11*Params!$C$5*(1-Params!$C$3)-Params!$C$4</f>
        <v>10045</v>
      </c>
      <c r="M17" s="10">
        <f>M11*Params!$C$5*(1-Params!$C$3)-Params!$C$4</f>
        <v>9125</v>
      </c>
      <c r="N17" s="10">
        <f>N11*Params!$C$5*(1-Params!$C$3)-Params!$C$4</f>
        <v>8665</v>
      </c>
      <c r="O17" s="4"/>
      <c r="P17" s="41">
        <f>SUM(C17:N17)</f>
        <v>67480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8665</v>
      </c>
      <c r="H19" s="28">
        <f t="shared" si="1"/>
        <v>7285</v>
      </c>
      <c r="I19" s="28">
        <f t="shared" si="1"/>
        <v>7745</v>
      </c>
      <c r="J19" s="28">
        <f t="shared" si="1"/>
        <v>6825</v>
      </c>
      <c r="K19" s="28">
        <f t="shared" si="1"/>
        <v>9125</v>
      </c>
      <c r="L19" s="28">
        <f t="shared" si="1"/>
        <v>10045</v>
      </c>
      <c r="M19" s="28">
        <f t="shared" si="1"/>
        <v>9125</v>
      </c>
      <c r="N19" s="28">
        <f t="shared" si="1"/>
        <v>8665</v>
      </c>
      <c r="O19" s="5"/>
      <c r="P19" s="42">
        <f>SUM(C19:O19)</f>
        <v>67480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>
        <v>5572.15</v>
      </c>
      <c r="H22" s="10">
        <v>5053.8999999999996</v>
      </c>
      <c r="I22" s="10">
        <v>5312.49</v>
      </c>
      <c r="J22" s="10">
        <v>3971.17</v>
      </c>
      <c r="K22" s="10">
        <v>5123.74</v>
      </c>
      <c r="L22" s="10">
        <v>5123.74</v>
      </c>
      <c r="M22" s="10">
        <v>5123.74</v>
      </c>
      <c r="N22" s="10">
        <v>5081.1899999999996</v>
      </c>
      <c r="O22" s="4"/>
      <c r="P22" s="43">
        <f>SUM(C22:N22)</f>
        <v>40362.119999999995</v>
      </c>
    </row>
    <row r="23" spans="2:16" x14ac:dyDescent="0.3">
      <c r="B23" s="9" t="s">
        <v>8</v>
      </c>
      <c r="C23" s="10"/>
      <c r="D23" s="10"/>
      <c r="E23" s="10"/>
      <c r="F23" s="10"/>
      <c r="G23" s="10">
        <f>1096.19+1859.59</f>
        <v>2955.7799999999997</v>
      </c>
      <c r="H23" s="10">
        <f>1097.26+1862.76</f>
        <v>2960.02</v>
      </c>
      <c r="I23" s="10">
        <f>1097.26+1875.9</f>
        <v>2973.16</v>
      </c>
      <c r="J23" s="10">
        <f>827.47+1409.9</f>
        <v>2237.37</v>
      </c>
      <c r="K23" s="10">
        <f>1084.48+1810.59</f>
        <v>2895.0699999999997</v>
      </c>
      <c r="L23" s="10">
        <f>1084.48+1812.81</f>
        <v>2897.29</v>
      </c>
      <c r="M23" s="10">
        <f>1084.48+1810.59</f>
        <v>2895.0699999999997</v>
      </c>
      <c r="N23" s="10">
        <f>1079.51+1799</f>
        <v>2878.51</v>
      </c>
      <c r="O23" s="4"/>
      <c r="P23" s="43">
        <f>SUM(C23:N23)</f>
        <v>22692.269999999997</v>
      </c>
    </row>
    <row r="24" spans="2:16" x14ac:dyDescent="0.3">
      <c r="B24" s="55" t="s">
        <v>40</v>
      </c>
      <c r="C24" s="10"/>
      <c r="D24" s="10"/>
      <c r="E24" s="10"/>
      <c r="F24" s="10"/>
      <c r="G24" s="10">
        <v>261.5</v>
      </c>
      <c r="H24" s="10">
        <v>236</v>
      </c>
      <c r="I24" s="10">
        <v>244.5</v>
      </c>
      <c r="J24" s="10">
        <v>227.5</v>
      </c>
      <c r="K24" s="10">
        <v>644</v>
      </c>
      <c r="L24" s="10">
        <v>698.4</v>
      </c>
      <c r="M24" s="10">
        <v>698.88</v>
      </c>
      <c r="N24" s="10">
        <v>1685.77</v>
      </c>
      <c r="O24" s="4"/>
      <c r="P24" s="43">
        <f>SUM(C24:N24)</f>
        <v>4696.55</v>
      </c>
    </row>
    <row r="25" spans="2:16" x14ac:dyDescent="0.3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8789.43</v>
      </c>
      <c r="H25" s="44">
        <f t="shared" si="2"/>
        <v>8249.92</v>
      </c>
      <c r="I25" s="44">
        <f t="shared" si="2"/>
        <v>8530.15</v>
      </c>
      <c r="J25" s="44">
        <f t="shared" si="2"/>
        <v>6436.04</v>
      </c>
      <c r="K25" s="44">
        <f t="shared" si="2"/>
        <v>8662.81</v>
      </c>
      <c r="L25" s="44">
        <f t="shared" si="2"/>
        <v>8719.43</v>
      </c>
      <c r="M25" s="44">
        <f t="shared" si="2"/>
        <v>8717.6899999999987</v>
      </c>
      <c r="N25" s="44">
        <f t="shared" si="2"/>
        <v>9645.4699999999993</v>
      </c>
      <c r="O25" s="4"/>
      <c r="P25" s="60">
        <f>SUM(C25:N25)</f>
        <v>67750.94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-124.43000000000029</v>
      </c>
      <c r="H27" s="47">
        <f t="shared" si="3"/>
        <v>-964.92000000000007</v>
      </c>
      <c r="I27" s="47">
        <f t="shared" si="3"/>
        <v>-785.14999999999964</v>
      </c>
      <c r="J27" s="47">
        <f t="shared" si="3"/>
        <v>388.96000000000004</v>
      </c>
      <c r="K27" s="47">
        <f t="shared" si="3"/>
        <v>462.19000000000051</v>
      </c>
      <c r="L27" s="47">
        <f t="shared" si="3"/>
        <v>1325.5699999999997</v>
      </c>
      <c r="M27" s="47">
        <f t="shared" si="3"/>
        <v>407.31000000000131</v>
      </c>
      <c r="N27" s="47">
        <f t="shared" si="3"/>
        <v>-980.46999999999935</v>
      </c>
      <c r="P27" s="59">
        <f>SUM(C27:O27)</f>
        <v>-270.93999999999778</v>
      </c>
    </row>
    <row r="29" spans="2:16" x14ac:dyDescent="0.3">
      <c r="B29" s="62" t="s">
        <v>37</v>
      </c>
      <c r="C29" s="54"/>
      <c r="D29" s="54"/>
      <c r="E29" s="54"/>
      <c r="F29" s="54"/>
      <c r="G29" s="54">
        <v>475</v>
      </c>
      <c r="H29" s="54">
        <v>400</v>
      </c>
      <c r="I29" s="54">
        <v>425</v>
      </c>
      <c r="J29" s="54">
        <v>375</v>
      </c>
      <c r="K29" s="54">
        <v>1600</v>
      </c>
      <c r="L29" s="54">
        <v>1760</v>
      </c>
      <c r="M29" s="54">
        <v>1520</v>
      </c>
      <c r="N29" s="54">
        <v>1520</v>
      </c>
      <c r="P29" s="61">
        <f>SUM(C29:N29)</f>
        <v>8075</v>
      </c>
    </row>
    <row r="30" spans="2:16" x14ac:dyDescent="0.3">
      <c r="B30" s="62" t="s">
        <v>38</v>
      </c>
      <c r="C30" s="54"/>
      <c r="D30" s="54"/>
      <c r="E30" s="54"/>
      <c r="F30" s="54"/>
      <c r="G30" s="54">
        <v>261.5</v>
      </c>
      <c r="H30" s="54">
        <v>236</v>
      </c>
      <c r="I30" s="54">
        <v>244.5</v>
      </c>
      <c r="J30" s="54">
        <v>227.5</v>
      </c>
      <c r="K30" s="54">
        <v>644</v>
      </c>
      <c r="L30" s="54">
        <v>698.4</v>
      </c>
      <c r="M30" s="54">
        <v>698.88</v>
      </c>
      <c r="N30" s="54">
        <v>598.88</v>
      </c>
      <c r="P30" s="61">
        <f>SUM(C30:N30)</f>
        <v>3609.6600000000003</v>
      </c>
    </row>
    <row r="32" spans="2:16" x14ac:dyDescent="0.3">
      <c r="N32" s="54" t="s">
        <v>42</v>
      </c>
      <c r="P32" s="61">
        <f>(P29*0.394) + 1515</f>
        <v>4696.55</v>
      </c>
    </row>
    <row r="33" spans="14:16" x14ac:dyDescent="0.3">
      <c r="N33" s="54" t="s">
        <v>43</v>
      </c>
      <c r="P33" s="61">
        <f>P32-P30</f>
        <v>1086.8899999999999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5"/>
  <sheetViews>
    <sheetView tabSelected="1" workbookViewId="0">
      <selection activeCell="D26" sqref="D26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8" customWidth="1"/>
  </cols>
  <sheetData>
    <row r="1" spans="2:16" x14ac:dyDescent="0.3">
      <c r="B1" s="69" t="s">
        <v>9</v>
      </c>
    </row>
    <row r="2" spans="2:16" x14ac:dyDescent="0.3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16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225</v>
      </c>
    </row>
    <row r="7" spans="2:16" x14ac:dyDescent="0.3">
      <c r="B7" s="9" t="s">
        <v>21</v>
      </c>
      <c r="C7" s="37">
        <v>22</v>
      </c>
      <c r="D7" s="37">
        <v>19</v>
      </c>
      <c r="E7" s="37">
        <v>21</v>
      </c>
      <c r="F7" s="37">
        <v>21</v>
      </c>
      <c r="G7" s="37">
        <v>18</v>
      </c>
      <c r="H7" s="37">
        <v>12</v>
      </c>
      <c r="I7" s="37">
        <v>17</v>
      </c>
      <c r="J7" s="37">
        <v>17</v>
      </c>
      <c r="K7" s="37">
        <v>20</v>
      </c>
      <c r="L7" s="37">
        <v>23</v>
      </c>
      <c r="M7" s="37">
        <v>19</v>
      </c>
      <c r="N7" s="37">
        <v>15</v>
      </c>
      <c r="O7" s="36"/>
      <c r="P7" s="57">
        <f>SUM(C7:N7)</f>
        <v>224</v>
      </c>
    </row>
    <row r="8" spans="2:16" x14ac:dyDescent="0.3">
      <c r="B8" s="18" t="s">
        <v>22</v>
      </c>
      <c r="C8" s="63">
        <f t="shared" ref="C8:N8" si="0">C7-C6</f>
        <v>3</v>
      </c>
      <c r="D8" s="63">
        <f t="shared" si="0"/>
        <v>0</v>
      </c>
      <c r="E8" s="63">
        <f t="shared" si="0"/>
        <v>2</v>
      </c>
      <c r="F8" s="63">
        <f t="shared" si="0"/>
        <v>2</v>
      </c>
      <c r="G8" s="63">
        <f t="shared" si="0"/>
        <v>-1</v>
      </c>
      <c r="H8" s="63">
        <f t="shared" si="0"/>
        <v>-7</v>
      </c>
      <c r="I8" s="63">
        <f t="shared" si="0"/>
        <v>1</v>
      </c>
      <c r="J8" s="63">
        <f t="shared" si="0"/>
        <v>-2</v>
      </c>
      <c r="K8" s="63">
        <f t="shared" si="0"/>
        <v>1</v>
      </c>
      <c r="L8" s="63">
        <f t="shared" si="0"/>
        <v>4</v>
      </c>
      <c r="M8" s="63">
        <f t="shared" si="0"/>
        <v>0</v>
      </c>
      <c r="N8" s="63">
        <f t="shared" si="0"/>
        <v>-4</v>
      </c>
      <c r="O8" s="36"/>
      <c r="P8" s="57">
        <f>SUM(C8:N8)</f>
        <v>-1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19</v>
      </c>
      <c r="E11" s="11">
        <v>21</v>
      </c>
      <c r="F11" s="11">
        <v>21</v>
      </c>
      <c r="G11" s="11">
        <v>18</v>
      </c>
      <c r="H11" s="11">
        <v>12.5</v>
      </c>
      <c r="I11" s="11">
        <v>17</v>
      </c>
      <c r="J11" s="11">
        <v>17</v>
      </c>
      <c r="K11" s="11">
        <v>20</v>
      </c>
      <c r="L11" s="11">
        <v>23</v>
      </c>
      <c r="M11" s="11">
        <v>19</v>
      </c>
      <c r="N11" s="11">
        <v>15</v>
      </c>
      <c r="P11" s="58">
        <f>SUM(C11:N11)</f>
        <v>224.5</v>
      </c>
    </row>
    <row r="12" spans="2:16" x14ac:dyDescent="0.3">
      <c r="B12" s="9" t="s">
        <v>16</v>
      </c>
      <c r="C12" s="12"/>
      <c r="D12" s="12">
        <v>2</v>
      </c>
      <c r="E12" s="12"/>
      <c r="F12" s="12"/>
      <c r="G12" s="12">
        <v>1</v>
      </c>
      <c r="H12" s="12">
        <v>7.5</v>
      </c>
      <c r="I12" s="12">
        <v>6</v>
      </c>
      <c r="J12" s="12">
        <v>4</v>
      </c>
      <c r="K12" s="12">
        <v>1</v>
      </c>
      <c r="L12" s="12"/>
      <c r="M12" s="12"/>
      <c r="N12" s="12">
        <v>2</v>
      </c>
      <c r="P12" s="58">
        <f>SUM(C12:N12)</f>
        <v>23.5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>
        <v>4</v>
      </c>
      <c r="P13" s="58">
        <f>SUM(C13:N13)</f>
        <v>4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10045</v>
      </c>
      <c r="D17" s="10">
        <f>D11*Params!$C$5*(1-Params!$C$3)-Params!$C$4</f>
        <v>8665</v>
      </c>
      <c r="E17" s="10">
        <f>E11*Params!$C$5*(1-Params!$C$3)-Params!$C$4</f>
        <v>9585</v>
      </c>
      <c r="F17" s="10">
        <f>F11*Params!$C$5*(1-Params!$C$3)-Params!$C$4</f>
        <v>9585</v>
      </c>
      <c r="G17" s="10">
        <f>G11*Params!$C$5*(1-Params!$C$3)-Params!$C$4</f>
        <v>8205</v>
      </c>
      <c r="H17" s="10">
        <f>H11*Params!$C$5*(1-Params!$C$3)-Params!$C$4</f>
        <v>5675</v>
      </c>
      <c r="I17" s="10">
        <f>I11*Params!$C$5*(1-Params!$C$3)-Params!$C$4</f>
        <v>7745</v>
      </c>
      <c r="J17" s="10">
        <f>J11*Params!$C$5*(1-Params!$C$3)-Params!$C$4</f>
        <v>7745</v>
      </c>
      <c r="K17" s="10">
        <f>K11*Params!$C$5*(1-Params!$C$3)-Params!$C$4</f>
        <v>9125</v>
      </c>
      <c r="L17" s="10">
        <f>L11*Params!$C$5*(1-Params!$C$3)-Params!$C$4</f>
        <v>10505</v>
      </c>
      <c r="M17" s="10">
        <f>M11*Params!$C$5*(1-Params!$C$3)-Params!$C$4</f>
        <v>8665</v>
      </c>
      <c r="N17" s="10">
        <f>N11*Params!$C$5*(1-Params!$C$3)-Params!$C$4</f>
        <v>6825</v>
      </c>
      <c r="O17" s="4"/>
      <c r="P17" s="41">
        <f>SUM(C17:N17)</f>
        <v>102370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55" t="s">
        <v>44</v>
      </c>
      <c r="C19" s="64"/>
      <c r="D19" s="64">
        <v>217.07</v>
      </c>
      <c r="E19" s="64"/>
      <c r="F19" s="64"/>
      <c r="G19" s="64"/>
      <c r="H19" s="64"/>
      <c r="I19" s="64"/>
      <c r="J19" s="64">
        <v>192.07</v>
      </c>
      <c r="K19" s="64"/>
      <c r="L19" s="64"/>
      <c r="M19" s="64"/>
      <c r="N19" s="64"/>
      <c r="O19" s="4"/>
      <c r="P19" s="65"/>
    </row>
    <row r="20" spans="2:16" x14ac:dyDescent="0.3">
      <c r="B20" s="27" t="s">
        <v>2</v>
      </c>
      <c r="C20" s="28">
        <f>SUM(C17:C18)</f>
        <v>10045</v>
      </c>
      <c r="D20" s="28">
        <f t="shared" ref="D20:N20" si="1">SUM(D17:D19)</f>
        <v>8882.07</v>
      </c>
      <c r="E20" s="28">
        <f t="shared" si="1"/>
        <v>9585</v>
      </c>
      <c r="F20" s="28">
        <f t="shared" si="1"/>
        <v>9585</v>
      </c>
      <c r="G20" s="28">
        <f t="shared" si="1"/>
        <v>8205</v>
      </c>
      <c r="H20" s="28">
        <f t="shared" si="1"/>
        <v>5675</v>
      </c>
      <c r="I20" s="28">
        <f t="shared" si="1"/>
        <v>7745</v>
      </c>
      <c r="J20" s="28">
        <f t="shared" si="1"/>
        <v>7937.07</v>
      </c>
      <c r="K20" s="28">
        <f t="shared" si="1"/>
        <v>9125</v>
      </c>
      <c r="L20" s="28">
        <f t="shared" si="1"/>
        <v>10505</v>
      </c>
      <c r="M20" s="28">
        <f t="shared" si="1"/>
        <v>8665</v>
      </c>
      <c r="N20" s="28">
        <f t="shared" si="1"/>
        <v>6825</v>
      </c>
      <c r="O20" s="5"/>
      <c r="P20" s="42">
        <f>SUM(C20:O20)</f>
        <v>102779.14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5114.75</v>
      </c>
      <c r="D23" s="10">
        <v>5114.75</v>
      </c>
      <c r="E23" s="10">
        <v>5114.75</v>
      </c>
      <c r="F23" s="10">
        <v>5114.75</v>
      </c>
      <c r="G23" s="10">
        <v>5114.75</v>
      </c>
      <c r="H23" s="10">
        <v>5114.75</v>
      </c>
      <c r="I23" s="10">
        <v>5082.12</v>
      </c>
      <c r="J23" s="10">
        <v>5205.6899999999996</v>
      </c>
      <c r="K23" s="10">
        <v>5114.75</v>
      </c>
      <c r="L23" s="10">
        <v>5114.75</v>
      </c>
      <c r="M23" s="10">
        <v>5114.75</v>
      </c>
      <c r="N23" s="10">
        <v>4196.2700000000004</v>
      </c>
      <c r="O23" s="4"/>
      <c r="P23" s="43">
        <f>SUM(C23:N23)</f>
        <v>60516.83</v>
      </c>
    </row>
    <row r="24" spans="2:16" x14ac:dyDescent="0.3">
      <c r="B24" s="9" t="s">
        <v>8</v>
      </c>
      <c r="C24" s="10">
        <f>1098.03+1829.35</f>
        <v>2927.38</v>
      </c>
      <c r="D24" s="10">
        <f>1098.03+1827.13</f>
        <v>2925.16</v>
      </c>
      <c r="E24" s="10">
        <f>1098.03+1831.55</f>
        <v>2929.58</v>
      </c>
      <c r="F24" s="10">
        <f>1098.03+1827.13</f>
        <v>2925.16</v>
      </c>
      <c r="G24" s="10">
        <f>1098.03+1850.42</f>
        <v>2948.45</v>
      </c>
      <c r="H24" s="10">
        <f>1098.03+1852.64</f>
        <v>2950.67</v>
      </c>
      <c r="I24" s="10">
        <f>1094.3+1858.86</f>
        <v>2953.16</v>
      </c>
      <c r="J24" s="10">
        <f>1118.54+1899.2</f>
        <v>3017.74</v>
      </c>
      <c r="K24" s="10">
        <f>1098.03+1861.87</f>
        <v>2959.8999999999996</v>
      </c>
      <c r="L24" s="10">
        <f>1098.03+1855.23</f>
        <v>2953.26</v>
      </c>
      <c r="M24" s="10">
        <f>1098.03+1853.01</f>
        <v>2951.04</v>
      </c>
      <c r="N24" s="10">
        <f>911.58+1533.24</f>
        <v>2444.8200000000002</v>
      </c>
      <c r="O24" s="4"/>
      <c r="P24" s="43">
        <f>SUM(C24:N24)</f>
        <v>34886.320000000007</v>
      </c>
    </row>
    <row r="25" spans="2:16" x14ac:dyDescent="0.3">
      <c r="B25" s="55" t="s">
        <v>40</v>
      </c>
      <c r="C25" s="10">
        <v>761.92</v>
      </c>
      <c r="D25" s="10">
        <v>616.79999999999995</v>
      </c>
      <c r="E25" s="10">
        <v>671.2</v>
      </c>
      <c r="F25" s="10">
        <v>671.2</v>
      </c>
      <c r="G25" s="10">
        <v>589.6</v>
      </c>
      <c r="H25" s="10">
        <v>453.6</v>
      </c>
      <c r="I25" s="10">
        <v>562.4</v>
      </c>
      <c r="J25" s="10">
        <v>562.4</v>
      </c>
      <c r="K25" s="10">
        <v>644</v>
      </c>
      <c r="L25" s="10">
        <v>725.6</v>
      </c>
      <c r="M25" s="10">
        <v>616.79999999999995</v>
      </c>
      <c r="N25" s="10">
        <v>547.28</v>
      </c>
      <c r="O25" s="4"/>
      <c r="P25" s="43">
        <f>SUM(C25:N25)</f>
        <v>7422.7999999999993</v>
      </c>
    </row>
    <row r="26" spans="2:16" x14ac:dyDescent="0.3">
      <c r="B26" s="55" t="s">
        <v>44</v>
      </c>
      <c r="C26" s="64"/>
      <c r="D26" s="64">
        <f>29.2+187.87</f>
        <v>217.07</v>
      </c>
      <c r="E26" s="64"/>
      <c r="F26" s="64"/>
      <c r="G26" s="64"/>
      <c r="H26" s="64"/>
      <c r="I26" s="64"/>
      <c r="J26" s="64">
        <v>192.07</v>
      </c>
      <c r="K26" s="64"/>
      <c r="L26" s="64"/>
      <c r="M26" s="64"/>
      <c r="N26" s="64"/>
      <c r="O26" s="4"/>
      <c r="P26" s="43">
        <f>SUM(C26:N26)</f>
        <v>409.14</v>
      </c>
    </row>
    <row r="27" spans="2:16" x14ac:dyDescent="0.3">
      <c r="B27" s="8" t="s">
        <v>3</v>
      </c>
      <c r="C27" s="44">
        <f>SUM(C23:C25)</f>
        <v>8804.0499999999993</v>
      </c>
      <c r="D27" s="44">
        <f t="shared" ref="D27:N27" si="2">SUM(D23:D26)</f>
        <v>8873.7799999999988</v>
      </c>
      <c r="E27" s="44">
        <f t="shared" si="2"/>
        <v>8715.5300000000007</v>
      </c>
      <c r="F27" s="44">
        <f t="shared" si="2"/>
        <v>8711.11</v>
      </c>
      <c r="G27" s="44">
        <f t="shared" si="2"/>
        <v>8652.7999999999993</v>
      </c>
      <c r="H27" s="44">
        <f t="shared" si="2"/>
        <v>8519.02</v>
      </c>
      <c r="I27" s="44">
        <f t="shared" si="2"/>
        <v>8597.68</v>
      </c>
      <c r="J27" s="44">
        <f t="shared" si="2"/>
        <v>8977.9</v>
      </c>
      <c r="K27" s="44">
        <f t="shared" si="2"/>
        <v>8718.65</v>
      </c>
      <c r="L27" s="44">
        <f t="shared" si="2"/>
        <v>8793.61</v>
      </c>
      <c r="M27" s="44">
        <f t="shared" si="2"/>
        <v>8682.59</v>
      </c>
      <c r="N27" s="44">
        <f t="shared" si="2"/>
        <v>7188.37</v>
      </c>
      <c r="O27" s="4"/>
      <c r="P27" s="60">
        <f>SUM(C27:N27)</f>
        <v>103235.09</v>
      </c>
    </row>
    <row r="28" spans="2:16" x14ac:dyDescent="0.3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3">
      <c r="B29" s="46" t="s">
        <v>36</v>
      </c>
      <c r="C29" s="47">
        <f t="shared" ref="C29:N29" si="3">C20-C27</f>
        <v>1240.9500000000007</v>
      </c>
      <c r="D29" s="47">
        <f t="shared" si="3"/>
        <v>8.2900000000008731</v>
      </c>
      <c r="E29" s="47">
        <f t="shared" si="3"/>
        <v>869.46999999999935</v>
      </c>
      <c r="F29" s="47">
        <f t="shared" si="3"/>
        <v>873.88999999999942</v>
      </c>
      <c r="G29" s="47">
        <f t="shared" si="3"/>
        <v>-447.79999999999927</v>
      </c>
      <c r="H29" s="47">
        <f t="shared" si="3"/>
        <v>-2844.0200000000004</v>
      </c>
      <c r="I29" s="47">
        <f t="shared" si="3"/>
        <v>-852.68000000000029</v>
      </c>
      <c r="J29" s="47">
        <f t="shared" si="3"/>
        <v>-1040.83</v>
      </c>
      <c r="K29" s="47">
        <f t="shared" si="3"/>
        <v>406.35000000000036</v>
      </c>
      <c r="L29" s="47">
        <f t="shared" si="3"/>
        <v>1711.3899999999994</v>
      </c>
      <c r="M29" s="47">
        <f t="shared" si="3"/>
        <v>-17.590000000000146</v>
      </c>
      <c r="N29" s="47">
        <f t="shared" si="3"/>
        <v>-363.36999999999989</v>
      </c>
      <c r="P29" s="59">
        <f>SUM(C29:O29)</f>
        <v>-455.94999999999982</v>
      </c>
    </row>
    <row r="31" spans="2:16" x14ac:dyDescent="0.3">
      <c r="B31" s="62" t="s">
        <v>37</v>
      </c>
      <c r="C31" s="54">
        <v>1680</v>
      </c>
      <c r="D31" s="54">
        <v>1520</v>
      </c>
      <c r="E31" s="54">
        <v>1680</v>
      </c>
      <c r="F31" s="54">
        <v>1680</v>
      </c>
      <c r="G31" s="54">
        <v>1440</v>
      </c>
      <c r="H31" s="54">
        <v>1040</v>
      </c>
      <c r="I31" s="54">
        <v>1360</v>
      </c>
      <c r="J31" s="54">
        <v>1360</v>
      </c>
      <c r="K31" s="54">
        <v>1600</v>
      </c>
      <c r="L31" s="54">
        <v>1840</v>
      </c>
      <c r="M31" s="54">
        <v>1520</v>
      </c>
      <c r="N31" s="54">
        <v>1200</v>
      </c>
      <c r="P31" s="61">
        <f>SUM(C31:N31)</f>
        <v>17920</v>
      </c>
    </row>
    <row r="32" spans="2:16" x14ac:dyDescent="0.3">
      <c r="B32" s="62" t="s">
        <v>38</v>
      </c>
      <c r="C32" s="54">
        <v>761.92</v>
      </c>
      <c r="D32" s="54">
        <v>616.79999999999995</v>
      </c>
      <c r="E32" s="54">
        <v>671.2</v>
      </c>
      <c r="F32" s="54">
        <v>671.2</v>
      </c>
      <c r="G32" s="54">
        <v>589.6</v>
      </c>
      <c r="H32" s="54">
        <v>453.6</v>
      </c>
      <c r="I32" s="54">
        <v>562.4</v>
      </c>
      <c r="J32" s="54">
        <v>562.4</v>
      </c>
      <c r="K32" s="54">
        <v>644</v>
      </c>
      <c r="L32" s="54">
        <v>725.6</v>
      </c>
      <c r="M32" s="54">
        <v>616.79999999999995</v>
      </c>
      <c r="N32" s="54">
        <v>547.28</v>
      </c>
      <c r="P32" s="61">
        <f>SUM(C32:N32)</f>
        <v>7422.7999999999993</v>
      </c>
    </row>
    <row r="34" spans="14:16" x14ac:dyDescent="0.3">
      <c r="N34" s="54" t="s">
        <v>42</v>
      </c>
      <c r="P34" s="61">
        <f>(P31*0.34) + 1330</f>
        <v>7422.8</v>
      </c>
    </row>
    <row r="35" spans="14:16" x14ac:dyDescent="0.3">
      <c r="N35" s="54" t="s">
        <v>43</v>
      </c>
      <c r="P35" s="61">
        <f>P34-P32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36"/>
  <sheetViews>
    <sheetView topLeftCell="A17" workbookViewId="0">
      <selection activeCell="I29" sqref="I29"/>
    </sheetView>
  </sheetViews>
  <sheetFormatPr baseColWidth="10" defaultRowHeight="14.4" x14ac:dyDescent="0.3"/>
  <cols>
    <col min="1" max="1" width="3" customWidth="1"/>
    <col min="2" max="2" width="28" customWidth="1"/>
    <col min="14" max="14" width="20" bestFit="1" customWidth="1"/>
    <col min="15" max="15" width="4" customWidth="1"/>
    <col min="16" max="16" width="11" style="48" customWidth="1"/>
  </cols>
  <sheetData>
    <row r="1" spans="2:16" x14ac:dyDescent="0.3">
      <c r="B1" s="69" t="s">
        <v>9</v>
      </c>
    </row>
    <row r="2" spans="2:16" x14ac:dyDescent="0.3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/>
      <c r="L6" s="37"/>
      <c r="M6" s="37"/>
      <c r="N6" s="37"/>
      <c r="O6" s="36"/>
      <c r="P6" s="57">
        <f>SUM(C6:N6)</f>
        <v>152</v>
      </c>
    </row>
    <row r="7" spans="2:16" x14ac:dyDescent="0.3">
      <c r="B7" s="9" t="s">
        <v>21</v>
      </c>
      <c r="C7" s="37">
        <v>21</v>
      </c>
      <c r="D7" s="37">
        <v>20</v>
      </c>
      <c r="E7" s="37">
        <v>21</v>
      </c>
      <c r="F7" s="37">
        <v>21</v>
      </c>
      <c r="G7" s="37">
        <v>18</v>
      </c>
      <c r="H7" s="37">
        <v>14</v>
      </c>
      <c r="I7" s="37">
        <v>19</v>
      </c>
      <c r="J7" s="37">
        <v>19</v>
      </c>
      <c r="K7" s="37"/>
      <c r="L7" s="37"/>
      <c r="M7" s="37"/>
      <c r="N7" s="37"/>
      <c r="O7" s="36"/>
      <c r="P7" s="57">
        <f>SUM(C7:N7)</f>
        <v>153</v>
      </c>
    </row>
    <row r="8" spans="2:16" x14ac:dyDescent="0.3">
      <c r="B8" s="18" t="s">
        <v>22</v>
      </c>
      <c r="C8" s="63">
        <f t="shared" ref="C8:N8" si="0">C7-C6</f>
        <v>2</v>
      </c>
      <c r="D8" s="63">
        <f t="shared" si="0"/>
        <v>1</v>
      </c>
      <c r="E8" s="63">
        <f t="shared" si="0"/>
        <v>2</v>
      </c>
      <c r="F8" s="63">
        <f t="shared" si="0"/>
        <v>2</v>
      </c>
      <c r="G8" s="63">
        <f t="shared" si="0"/>
        <v>-1</v>
      </c>
      <c r="H8" s="63">
        <f t="shared" si="0"/>
        <v>-5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1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21</v>
      </c>
      <c r="D11" s="11">
        <v>20</v>
      </c>
      <c r="E11" s="11">
        <v>21</v>
      </c>
      <c r="F11" s="11">
        <v>21</v>
      </c>
      <c r="G11" s="11">
        <v>18</v>
      </c>
      <c r="H11" s="11">
        <v>14</v>
      </c>
      <c r="I11" s="11">
        <v>19</v>
      </c>
      <c r="J11" s="11">
        <v>19</v>
      </c>
      <c r="K11" s="11"/>
      <c r="L11" s="11"/>
      <c r="M11" s="11"/>
      <c r="N11" s="11"/>
      <c r="P11" s="58">
        <f>SUM(C11:N11)</f>
        <v>153</v>
      </c>
    </row>
    <row r="12" spans="2:16" x14ac:dyDescent="0.3">
      <c r="B12" s="9" t="s">
        <v>16</v>
      </c>
      <c r="C12" s="12">
        <v>1</v>
      </c>
      <c r="D12" s="12"/>
      <c r="E12" s="12"/>
      <c r="F12" s="12"/>
      <c r="G12" s="12">
        <v>1</v>
      </c>
      <c r="H12" s="12">
        <v>3</v>
      </c>
      <c r="I12" s="12">
        <v>3</v>
      </c>
      <c r="J12" s="12">
        <v>1</v>
      </c>
      <c r="K12" s="12"/>
      <c r="L12" s="12"/>
      <c r="M12" s="12"/>
      <c r="N12" s="12"/>
      <c r="P12" s="58">
        <f>SUM(C12:N12)</f>
        <v>9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>
        <v>3</v>
      </c>
      <c r="I13" s="12"/>
      <c r="J13" s="12"/>
      <c r="K13" s="12"/>
      <c r="L13" s="12"/>
      <c r="M13" s="12"/>
      <c r="N13" s="12"/>
      <c r="P13" s="58">
        <f>SUM(C13:N13)</f>
        <v>3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9585</v>
      </c>
      <c r="D17" s="10">
        <f>D11*Params!$C$5*(1-Params!$C$3)-Params!$C$4</f>
        <v>9125</v>
      </c>
      <c r="E17" s="10">
        <f>E11*Params!$C$5*(1-Params!$C$3)-Params!$C$4</f>
        <v>9585</v>
      </c>
      <c r="F17" s="10">
        <f>F11*Params!$C$5*(1-Params!$C$3)-Params!$C$4</f>
        <v>9585</v>
      </c>
      <c r="G17" s="10">
        <f>G11*Params!$C$5*(1-Params!$C$3)-Params!$C$4</f>
        <v>8205</v>
      </c>
      <c r="H17" s="10">
        <f>H11*Params!$C$5*(1-Params!$C$3)-Params!$C$4</f>
        <v>6365</v>
      </c>
      <c r="I17" s="10">
        <f>I11*Params!$C$5*(1-Params!$C$3)-Params!$C$4</f>
        <v>8665</v>
      </c>
      <c r="J17" s="10">
        <f>J11*Params!$C$5*(1-Params!$C$3)-Params!$C$4</f>
        <v>8665</v>
      </c>
      <c r="K17" s="10"/>
      <c r="L17" s="10"/>
      <c r="M17" s="10"/>
      <c r="N17" s="10"/>
      <c r="O17" s="4"/>
      <c r="P17" s="41">
        <f>SUM(C17:N17)</f>
        <v>69780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55" t="s">
        <v>44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4"/>
      <c r="P19" s="65"/>
    </row>
    <row r="20" spans="2:16" x14ac:dyDescent="0.3">
      <c r="B20" s="27" t="s">
        <v>2</v>
      </c>
      <c r="C20" s="28">
        <f>SUM(C17:C18)</f>
        <v>9585</v>
      </c>
      <c r="D20" s="28">
        <f t="shared" ref="D20:N20" si="1">SUM(D17:D19)</f>
        <v>9125</v>
      </c>
      <c r="E20" s="28">
        <f t="shared" si="1"/>
        <v>9585</v>
      </c>
      <c r="F20" s="28">
        <f t="shared" si="1"/>
        <v>9585</v>
      </c>
      <c r="G20" s="28">
        <f t="shared" si="1"/>
        <v>8205</v>
      </c>
      <c r="H20" s="28">
        <f t="shared" si="1"/>
        <v>6365</v>
      </c>
      <c r="I20" s="28">
        <f t="shared" si="1"/>
        <v>8665</v>
      </c>
      <c r="J20" s="28">
        <f t="shared" si="1"/>
        <v>8665</v>
      </c>
      <c r="K20" s="28">
        <f t="shared" si="1"/>
        <v>0</v>
      </c>
      <c r="L20" s="28">
        <f t="shared" si="1"/>
        <v>0</v>
      </c>
      <c r="M20" s="28">
        <f t="shared" si="1"/>
        <v>0</v>
      </c>
      <c r="N20" s="28">
        <f t="shared" si="1"/>
        <v>0</v>
      </c>
      <c r="O20" s="5"/>
      <c r="P20" s="42">
        <f>SUM(C20:O20)</f>
        <v>69780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3613.26</v>
      </c>
      <c r="D23" s="10">
        <v>3613.26</v>
      </c>
      <c r="E23" s="10">
        <v>5113.26</v>
      </c>
      <c r="F23" s="10">
        <v>5113.26</v>
      </c>
      <c r="G23" s="10">
        <v>5113.26</v>
      </c>
      <c r="H23" s="10">
        <v>4427.26</v>
      </c>
      <c r="I23" s="10">
        <v>5113.26</v>
      </c>
      <c r="J23" s="10">
        <v>5113.26</v>
      </c>
      <c r="K23" s="10"/>
      <c r="L23" s="10"/>
      <c r="M23" s="10"/>
      <c r="N23" s="10"/>
      <c r="O23" s="4"/>
      <c r="P23" s="43">
        <f t="shared" ref="P23:P29" si="2">SUM(C23:N23)</f>
        <v>37220.080000000009</v>
      </c>
    </row>
    <row r="24" spans="2:16" x14ac:dyDescent="0.3">
      <c r="B24" s="9" t="s">
        <v>8</v>
      </c>
      <c r="C24" s="10">
        <f>1104.08+1863.57</f>
        <v>2967.6499999999996</v>
      </c>
      <c r="D24" s="10">
        <f>1104.08+1861.37</f>
        <v>2965.45</v>
      </c>
      <c r="E24" s="10">
        <f>1104.08+1859.15</f>
        <v>2963.23</v>
      </c>
      <c r="F24" s="10">
        <f>1104.08+3102.62</f>
        <v>4206.7</v>
      </c>
      <c r="G24" s="10">
        <f>1104.08+2170.01</f>
        <v>3274.09</v>
      </c>
      <c r="H24" s="10">
        <f>961.39+1889.66</f>
        <v>2851.05</v>
      </c>
      <c r="I24" s="10">
        <f>1104.08+2176.65</f>
        <v>3280.73</v>
      </c>
      <c r="J24" s="10">
        <f>1104.08+2176.65</f>
        <v>3280.73</v>
      </c>
      <c r="K24" s="10"/>
      <c r="L24" s="10"/>
      <c r="M24" s="10"/>
      <c r="N24" s="10"/>
      <c r="O24" s="4"/>
      <c r="P24" s="43">
        <f t="shared" si="2"/>
        <v>25789.629999999997</v>
      </c>
    </row>
    <row r="25" spans="2:16" x14ac:dyDescent="0.3">
      <c r="B25" s="55" t="s">
        <v>40</v>
      </c>
      <c r="C25" s="10">
        <v>671.2</v>
      </c>
      <c r="D25" s="10">
        <v>644</v>
      </c>
      <c r="E25" s="10">
        <v>671.2</v>
      </c>
      <c r="F25" s="10">
        <v>671.2</v>
      </c>
      <c r="G25" s="10">
        <v>589.6</v>
      </c>
      <c r="H25" s="10">
        <v>480.8</v>
      </c>
      <c r="I25" s="10">
        <v>616.79999999999995</v>
      </c>
      <c r="J25" s="10">
        <v>616.79999999999995</v>
      </c>
      <c r="K25" s="10"/>
      <c r="L25" s="10"/>
      <c r="M25" s="10"/>
      <c r="N25" s="10"/>
      <c r="O25" s="4"/>
      <c r="P25" s="43">
        <f t="shared" si="2"/>
        <v>4961.6000000000004</v>
      </c>
    </row>
    <row r="26" spans="2:16" x14ac:dyDescent="0.3">
      <c r="B26" s="55" t="s">
        <v>44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4"/>
      <c r="P26" s="43">
        <f t="shared" si="2"/>
        <v>0</v>
      </c>
    </row>
    <row r="27" spans="2:16" x14ac:dyDescent="0.3">
      <c r="B27" s="55" t="s">
        <v>45</v>
      </c>
      <c r="C27" s="10">
        <v>3000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4"/>
      <c r="P27" s="43">
        <f t="shared" si="2"/>
        <v>3000</v>
      </c>
    </row>
    <row r="28" spans="2:16" x14ac:dyDescent="0.3">
      <c r="B28" s="55" t="s">
        <v>48</v>
      </c>
      <c r="C28" s="64"/>
      <c r="D28" s="64"/>
      <c r="E28" s="64"/>
      <c r="F28" s="64"/>
      <c r="G28" s="64"/>
      <c r="H28" s="64"/>
      <c r="I28" s="64">
        <v>1152.25</v>
      </c>
      <c r="J28" s="64"/>
      <c r="K28" s="64"/>
      <c r="L28" s="64"/>
      <c r="M28" s="64"/>
      <c r="N28" s="64"/>
      <c r="O28" s="4"/>
      <c r="P28" s="43">
        <f t="shared" si="2"/>
        <v>1152.25</v>
      </c>
    </row>
    <row r="29" spans="2:16" x14ac:dyDescent="0.3">
      <c r="B29" s="8" t="s">
        <v>3</v>
      </c>
      <c r="C29" s="44">
        <f>SUM(C23:C28)</f>
        <v>10252.11</v>
      </c>
      <c r="D29" s="44">
        <f t="shared" ref="D29:N29" si="3">SUM(D23:D28)</f>
        <v>7222.71</v>
      </c>
      <c r="E29" s="44">
        <f t="shared" si="3"/>
        <v>8747.69</v>
      </c>
      <c r="F29" s="44">
        <f t="shared" si="3"/>
        <v>9991.16</v>
      </c>
      <c r="G29" s="44">
        <f t="shared" si="3"/>
        <v>8976.9500000000007</v>
      </c>
      <c r="H29" s="44">
        <f t="shared" si="3"/>
        <v>7759.1100000000006</v>
      </c>
      <c r="I29" s="44">
        <f t="shared" si="3"/>
        <v>10163.039999999999</v>
      </c>
      <c r="J29" s="44">
        <f t="shared" si="3"/>
        <v>9010.7899999999991</v>
      </c>
      <c r="K29" s="44">
        <f t="shared" si="3"/>
        <v>0</v>
      </c>
      <c r="L29" s="44">
        <f t="shared" si="3"/>
        <v>0</v>
      </c>
      <c r="M29" s="44">
        <f t="shared" si="3"/>
        <v>0</v>
      </c>
      <c r="N29" s="44">
        <f t="shared" si="3"/>
        <v>0</v>
      </c>
      <c r="O29" s="4"/>
      <c r="P29" s="60">
        <f t="shared" si="2"/>
        <v>72123.56</v>
      </c>
    </row>
    <row r="30" spans="2:16" x14ac:dyDescent="0.3">
      <c r="B30" s="4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5"/>
    </row>
    <row r="31" spans="2:16" x14ac:dyDescent="0.3">
      <c r="B31" s="66" t="s">
        <v>46</v>
      </c>
      <c r="C31" s="67">
        <v>1500</v>
      </c>
      <c r="D31" s="67">
        <v>1500</v>
      </c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4"/>
      <c r="P31" s="68">
        <f>SUM(C31:N31)</f>
        <v>3000</v>
      </c>
    </row>
    <row r="32" spans="2:16" x14ac:dyDescent="0.3">
      <c r="B32" s="4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5"/>
    </row>
    <row r="33" spans="2:16" x14ac:dyDescent="0.3">
      <c r="B33" s="46" t="s">
        <v>36</v>
      </c>
      <c r="C33" s="47">
        <f t="shared" ref="C33:N33" si="4">C20-C29</f>
        <v>-667.11000000000058</v>
      </c>
      <c r="D33" s="47">
        <f t="shared" si="4"/>
        <v>1902.29</v>
      </c>
      <c r="E33" s="47">
        <f t="shared" si="4"/>
        <v>837.30999999999949</v>
      </c>
      <c r="F33" s="47">
        <f t="shared" si="4"/>
        <v>-406.15999999999985</v>
      </c>
      <c r="G33" s="47">
        <f t="shared" si="4"/>
        <v>-771.95000000000073</v>
      </c>
      <c r="H33" s="47">
        <f t="shared" si="4"/>
        <v>-1394.1100000000006</v>
      </c>
      <c r="I33" s="47">
        <f t="shared" si="4"/>
        <v>-1498.0399999999991</v>
      </c>
      <c r="J33" s="47">
        <f t="shared" si="4"/>
        <v>-345.78999999999905</v>
      </c>
      <c r="K33" s="47">
        <f t="shared" si="4"/>
        <v>0</v>
      </c>
      <c r="L33" s="47">
        <f t="shared" si="4"/>
        <v>0</v>
      </c>
      <c r="M33" s="47">
        <f t="shared" si="4"/>
        <v>0</v>
      </c>
      <c r="N33" s="47">
        <f t="shared" si="4"/>
        <v>0</v>
      </c>
      <c r="P33" s="59">
        <f>SUM(C33:O33)</f>
        <v>-2343.5600000000004</v>
      </c>
    </row>
    <row r="35" spans="2:16" x14ac:dyDescent="0.3">
      <c r="B35" s="62" t="s">
        <v>37</v>
      </c>
      <c r="C35" s="54">
        <v>1680</v>
      </c>
      <c r="D35" s="54">
        <v>1600</v>
      </c>
      <c r="E35" s="54">
        <v>1680</v>
      </c>
      <c r="F35" s="54">
        <v>1680</v>
      </c>
      <c r="G35" s="54">
        <v>1440</v>
      </c>
      <c r="H35" s="54">
        <v>1120</v>
      </c>
      <c r="I35" s="54">
        <v>1520</v>
      </c>
      <c r="J35" s="54">
        <v>1520</v>
      </c>
      <c r="K35" s="54"/>
      <c r="L35" s="54"/>
      <c r="M35" s="54"/>
      <c r="N35" s="54"/>
      <c r="P35" s="61">
        <f>SUM(C35:N35)</f>
        <v>12240</v>
      </c>
    </row>
    <row r="36" spans="2:16" x14ac:dyDescent="0.3">
      <c r="B36" s="62" t="s">
        <v>38</v>
      </c>
      <c r="C36" s="54">
        <v>671.2</v>
      </c>
      <c r="D36" s="54">
        <v>644</v>
      </c>
      <c r="E36" s="54">
        <v>671.2</v>
      </c>
      <c r="F36" s="54">
        <v>671.2</v>
      </c>
      <c r="G36" s="54">
        <v>589.6</v>
      </c>
      <c r="H36" s="54">
        <v>480.8</v>
      </c>
      <c r="I36" s="54">
        <v>616.79999999999995</v>
      </c>
      <c r="J36" s="54">
        <v>616.79999999999995</v>
      </c>
      <c r="K36" s="54"/>
      <c r="L36" s="54"/>
      <c r="M36" s="54"/>
      <c r="N36" s="54"/>
      <c r="P36" s="61">
        <f>SUM(C36:N36)</f>
        <v>4961.6000000000004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ignoredErrors>
    <ignoredError sqref="H24" formula="1"/>
  </ignoredErrors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5"/>
  <sheetViews>
    <sheetView workbookViewId="0">
      <selection activeCell="C8" sqref="C8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1" t="s">
        <v>23</v>
      </c>
      <c r="C2" s="72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500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3" t="s">
        <v>33</v>
      </c>
      <c r="C2" s="73"/>
    </row>
    <row r="3" spans="2:3" ht="16.95" customHeight="1" x14ac:dyDescent="0.3">
      <c r="B3" s="38" t="s">
        <v>34</v>
      </c>
      <c r="C3" s="39">
        <f>'2023'!P27+'2024'!P29+'2025'!P33</f>
        <v>-3070.449999999998</v>
      </c>
    </row>
    <row r="4" spans="2:3" ht="16.95" customHeight="1" x14ac:dyDescent="0.3">
      <c r="B4" s="38" t="s">
        <v>39</v>
      </c>
      <c r="C4" s="40">
        <f>'2023'!P12+'2024'!P12+'2025'!P12</f>
        <v>45.5</v>
      </c>
    </row>
    <row r="5" spans="2:3" x14ac:dyDescent="0.3">
      <c r="B5" t="s">
        <v>47</v>
      </c>
      <c r="C5">
        <f>(28*2.08)-C4</f>
        <v>12.740000000000002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'2023'!NOMBRE_KM</vt:lpstr>
      <vt:lpstr>'2024'!NOMBRE_KM</vt:lpstr>
      <vt:lpstr>'2025'!NOMBRE_KM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'2024'!SORTIES_FRAIS_KM</vt:lpstr>
      <vt:lpstr>'2025'!SORTIES_FRAIS_KM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2025-09-11T13:01:50Z</dcterms:modified>
</cp:coreProperties>
</file>