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EC400DDA-6DC6-4DF4-AD57-A68110D467A7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'2025'!$B$15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'2025'!$B$17</definedName>
    <definedName name="ENTREES">#REF!</definedName>
    <definedName name="ENTREES_ASTREINTE" localSheetId="0">'2024'!$B$18</definedName>
    <definedName name="ENTREES_ASTREINTE" localSheetId="1">'2025'!$B$19</definedName>
    <definedName name="ENTREES_ASTREINTE">#REF!</definedName>
    <definedName name="ENTREES_FACTURE" localSheetId="0">'2024'!$B$17</definedName>
    <definedName name="ENTREES_FACTURE" localSheetId="1">'2025'!$B$18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'2024'!$B$31</definedName>
    <definedName name="FRAIS_KM" localSheetId="1">'2025'!$B$35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'2024'!$B$30</definedName>
    <definedName name="NOMBRE_KM" localSheetId="1">'2025'!$B$34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'2025'!$C$3</definedName>
    <definedName name="SEPTEMBRE">#REF!</definedName>
    <definedName name="SOLDE" localSheetId="0">'2024'!$B$28</definedName>
    <definedName name="SOLDE" localSheetId="1">'2025'!$B$32</definedName>
    <definedName name="SORTIES" localSheetId="0">'2024'!$B$21</definedName>
    <definedName name="SORTIES" localSheetId="1">'2025'!$B$22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'2025'!$B$24</definedName>
    <definedName name="SORTIES_CHARGES_SOCIALES_PATRONALES">#REF!</definedName>
    <definedName name="SORTIES_FRAIS_KM" localSheetId="0">'2024'!$B$24</definedName>
    <definedName name="SORTIES_FRAIS_KM" localSheetId="1">'2025'!$B$25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'2025'!$B$23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'2025'!$B$20</definedName>
    <definedName name="TOTAL_ENTREES">#REF!</definedName>
    <definedName name="TOTAL_SORTIES" localSheetId="0">'2024'!$B$26</definedName>
    <definedName name="TOTAL_SORTIES" localSheetId="1">'2025'!$B$28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6" i="15" l="1"/>
  <c r="P27" i="15"/>
  <c r="P25" i="14"/>
  <c r="C5" i="13"/>
  <c r="J24" i="15"/>
  <c r="J18" i="15"/>
  <c r="I24" i="15" l="1"/>
  <c r="I18" i="15"/>
  <c r="P14" i="15" l="1"/>
  <c r="H24" i="15"/>
  <c r="H18" i="15"/>
  <c r="G24" i="15" l="1"/>
  <c r="G18" i="15"/>
  <c r="F24" i="15" l="1"/>
  <c r="F18" i="15"/>
  <c r="P30" i="15" l="1"/>
  <c r="F28" i="15" l="1"/>
  <c r="G28" i="15"/>
  <c r="H28" i="15"/>
  <c r="I28" i="15"/>
  <c r="J28" i="15"/>
  <c r="K28" i="15"/>
  <c r="L28" i="15"/>
  <c r="M28" i="15"/>
  <c r="N28" i="15"/>
  <c r="E24" i="15" l="1"/>
  <c r="E28" i="15" s="1"/>
  <c r="D24" i="15"/>
  <c r="E18" i="15"/>
  <c r="J26" i="14"/>
  <c r="I26" i="14"/>
  <c r="H26" i="14"/>
  <c r="G26" i="14"/>
  <c r="F26" i="14"/>
  <c r="E26" i="14"/>
  <c r="D26" i="14"/>
  <c r="C26" i="14"/>
  <c r="J19" i="14"/>
  <c r="J28" i="14" s="1"/>
  <c r="I19" i="14"/>
  <c r="I28" i="14" s="1"/>
  <c r="H19" i="14"/>
  <c r="H28" i="14" s="1"/>
  <c r="G19" i="14"/>
  <c r="F19" i="14"/>
  <c r="E19" i="14"/>
  <c r="D19" i="14"/>
  <c r="C19" i="14"/>
  <c r="J8" i="14"/>
  <c r="I8" i="14"/>
  <c r="H8" i="14"/>
  <c r="G8" i="14"/>
  <c r="F8" i="14"/>
  <c r="E8" i="14"/>
  <c r="D8" i="14"/>
  <c r="C8" i="14"/>
  <c r="P6" i="14"/>
  <c r="P7" i="14"/>
  <c r="K8" i="14"/>
  <c r="L8" i="14"/>
  <c r="M8" i="14"/>
  <c r="N8" i="14"/>
  <c r="P11" i="14"/>
  <c r="P12" i="14"/>
  <c r="P13" i="14"/>
  <c r="P14" i="14"/>
  <c r="K17" i="14"/>
  <c r="K19" i="14" s="1"/>
  <c r="L17" i="14"/>
  <c r="L19" i="14" s="1"/>
  <c r="M17" i="14"/>
  <c r="M19" i="14" s="1"/>
  <c r="N17" i="14"/>
  <c r="N19" i="14" s="1"/>
  <c r="P18" i="14"/>
  <c r="P22" i="14"/>
  <c r="K23" i="14"/>
  <c r="L23" i="14"/>
  <c r="L26" i="14" s="1"/>
  <c r="M23" i="14"/>
  <c r="M26" i="14" s="1"/>
  <c r="N23" i="14"/>
  <c r="N26" i="14" s="1"/>
  <c r="P24" i="14"/>
  <c r="P30" i="14"/>
  <c r="P33" i="14" s="1"/>
  <c r="P31" i="14"/>
  <c r="F28" i="14" l="1"/>
  <c r="G28" i="14"/>
  <c r="E28" i="14"/>
  <c r="D28" i="14"/>
  <c r="C28" i="14"/>
  <c r="P34" i="14"/>
  <c r="P8" i="14"/>
  <c r="P23" i="14"/>
  <c r="N28" i="14"/>
  <c r="P17" i="14"/>
  <c r="M28" i="14"/>
  <c r="L28" i="14"/>
  <c r="P19" i="14"/>
  <c r="K26" i="14"/>
  <c r="P26" i="14" s="1"/>
  <c r="P26" i="15"/>
  <c r="D18" i="15"/>
  <c r="D20" i="15" s="1"/>
  <c r="C24" i="15"/>
  <c r="C28" i="15" s="1"/>
  <c r="C18" i="15"/>
  <c r="C20" i="15" s="1"/>
  <c r="E20" i="15"/>
  <c r="E32" i="15" s="1"/>
  <c r="F20" i="15"/>
  <c r="F32" i="15" s="1"/>
  <c r="G20" i="15"/>
  <c r="G32" i="15" s="1"/>
  <c r="H20" i="15"/>
  <c r="H32" i="15" s="1"/>
  <c r="I20" i="15"/>
  <c r="I32" i="15" s="1"/>
  <c r="J20" i="15"/>
  <c r="J32" i="15" s="1"/>
  <c r="K20" i="15"/>
  <c r="K32" i="15" s="1"/>
  <c r="D8" i="15"/>
  <c r="E8" i="15"/>
  <c r="F8" i="15"/>
  <c r="G8" i="15"/>
  <c r="H8" i="15"/>
  <c r="I8" i="15"/>
  <c r="J8" i="15"/>
  <c r="K8" i="15"/>
  <c r="L8" i="15"/>
  <c r="P35" i="15"/>
  <c r="P34" i="15"/>
  <c r="P25" i="15"/>
  <c r="P23" i="15"/>
  <c r="P19" i="15"/>
  <c r="N20" i="15"/>
  <c r="M20" i="15"/>
  <c r="L20" i="15"/>
  <c r="P15" i="15"/>
  <c r="P13" i="15"/>
  <c r="P12" i="15"/>
  <c r="C4" i="13" s="1"/>
  <c r="P11" i="15"/>
  <c r="N8" i="15"/>
  <c r="M8" i="15"/>
  <c r="C8" i="15"/>
  <c r="P7" i="15"/>
  <c r="P6" i="15"/>
  <c r="D28" i="15" l="1"/>
  <c r="D32" i="15" s="1"/>
  <c r="K28" i="14"/>
  <c r="P28" i="14" s="1"/>
  <c r="P8" i="15"/>
  <c r="L32" i="15"/>
  <c r="N32" i="15"/>
  <c r="P24" i="15"/>
  <c r="M32" i="15"/>
  <c r="C32" i="15"/>
  <c r="P20" i="15"/>
  <c r="P18" i="15"/>
  <c r="P28" i="15" l="1"/>
  <c r="P32" i="15"/>
  <c r="C3" i="13" s="1"/>
</calcChain>
</file>

<file path=xl/sharedStrings.xml><?xml version="1.0" encoding="utf-8"?>
<sst xmlns="http://schemas.openxmlformats.org/spreadsheetml/2006/main" count="87" uniqueCount="49">
  <si>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</si>
  <si>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</si>
  <si>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</si>
  <si>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</si>
  <si>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</si>
  <si>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</si>
  <si>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</si>
  <si>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</si>
  <si>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</si>
  <si>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</si>
  <si>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</si>
  <si>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</si>
  <si>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</si>
  <si>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</si>
  <si>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</si>
  <si>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</si>
  <si>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</si>
  <si>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</si>
  <si>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</si>
  <si>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</si>
  <si>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</si>
  <si>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</si>
  <si>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</si>
  <si>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</si>
  <si>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Septembre</t>
  </si>
  <si>
    <t>Octobre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</si>
  <si>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</si>
  <si>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</si>
  <si>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</si>
  <si>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</si>
  <si>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</si>
  <si>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</si>
  <si>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</si>
  <si>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(Septembre 2024)</t>
  </si>
  <si>
    <t>Achat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</si>
  <si>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</si>
  <si>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</si>
  <si>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</si>
  <si>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</si>
  <si>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</si>
  <si>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</si>
  <si>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</si>
  <si>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</si>
  <si>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</si>
  <si>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</si>
  <si>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Solde Congé</t>
  </si>
  <si>
    <t>Acompte Versé</t>
  </si>
  <si>
    <t>Acompte Remboursé</t>
  </si>
  <si>
    <t>Paternité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</si>
</sst>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workbookViewId="0">
      <selection activeCell="E33" sqref="E3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70" t="s">
        <v>9</v>
      </c>
    </row>
    <row r="2" spans="2:16" x14ac:dyDescent="0.3">
      <c r="B2" s="7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>
        <v>19</v>
      </c>
      <c r="L6" s="36">
        <v>19</v>
      </c>
      <c r="M6" s="36">
        <v>19</v>
      </c>
      <c r="N6" s="36">
        <v>19</v>
      </c>
      <c r="O6" s="35"/>
      <c r="P6" s="56">
        <f>SUM(K6:N6)</f>
        <v>76</v>
      </c>
    </row>
    <row r="7" spans="2:16" x14ac:dyDescent="0.3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>
        <v>21</v>
      </c>
      <c r="L7" s="36">
        <v>23</v>
      </c>
      <c r="M7" s="36">
        <v>19</v>
      </c>
      <c r="N7" s="36">
        <v>19</v>
      </c>
      <c r="O7" s="35"/>
      <c r="P7" s="56">
        <f>SUM(K7:N7)</f>
        <v>82</v>
      </c>
    </row>
    <row r="8" spans="2:16" x14ac:dyDescent="0.3">
      <c r="B8" s="18" t="s">
        <v>22</v>
      </c>
      <c r="C8" s="62">
        <f>C7-C6</f>
        <v>0</v>
      </c>
      <c r="D8" s="62">
        <f t="shared" ref="D8:J8" si="0">D7-D6</f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>K7-K6</f>
        <v>2</v>
      </c>
      <c r="L8" s="62">
        <f>L7-L6</f>
        <v>4</v>
      </c>
      <c r="M8" s="62">
        <f>M7-M6</f>
        <v>0</v>
      </c>
      <c r="N8" s="62">
        <f>N7-N6</f>
        <v>0</v>
      </c>
      <c r="O8" s="35"/>
      <c r="P8" s="56">
        <f>SUM(K8:N8)</f>
        <v>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>
        <v>21</v>
      </c>
      <c r="L11" s="11">
        <v>23</v>
      </c>
      <c r="M11" s="11">
        <v>19</v>
      </c>
      <c r="N11" s="11">
        <v>19</v>
      </c>
      <c r="P11" s="57">
        <f>SUM(K11:N11)</f>
        <v>82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2</v>
      </c>
      <c r="P12" s="57">
        <f>SUM(K12:N12)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SUM(K13:N13)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SUM(K14:N14)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>
        <f>K11*Params!$C$5*(1-Params!$C$3)-Params!$C$4</f>
        <v>11130.6</v>
      </c>
      <c r="L17" s="10">
        <f>L11*Params!$C$5*(1-Params!$C$3)-Params!$C$4</f>
        <v>12197.800000000001</v>
      </c>
      <c r="M17" s="10">
        <f>M11*Params!$C$5*(1-Params!$C$3)-Params!$C$4</f>
        <v>10063.4</v>
      </c>
      <c r="N17" s="10">
        <f>N11*Params!$C$5*(1-Params!$C$3)-Params!$C$4</f>
        <v>10063.4</v>
      </c>
      <c r="O17" s="4"/>
      <c r="P17" s="40">
        <f>SUM(K17:N17)</f>
        <v>43455.200000000004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SUM(K18:N18)</f>
        <v>0</v>
      </c>
    </row>
    <row r="19" spans="2:16" x14ac:dyDescent="0.3">
      <c r="B19" s="27" t="s">
        <v>2</v>
      </c>
      <c r="C19" s="28">
        <f>SUM(C17:C18)</f>
        <v>0</v>
      </c>
      <c r="D19" s="28">
        <f t="shared" ref="D19:J19" si="1">SUM(D17:D18)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>SUM(K17:K18)</f>
        <v>11130.6</v>
      </c>
      <c r="L19" s="28">
        <f>SUM(L17:L18)</f>
        <v>12197.800000000001</v>
      </c>
      <c r="M19" s="28">
        <f>SUM(M17:M18)</f>
        <v>10063.4</v>
      </c>
      <c r="N19" s="28">
        <f>SUM(N17:N18)</f>
        <v>10063.4</v>
      </c>
      <c r="O19" s="5"/>
      <c r="P19" s="41">
        <f>SUM(K19:O19)</f>
        <v>43455.200000000004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>
        <v>5879.96</v>
      </c>
      <c r="L22" s="10">
        <v>5878.8</v>
      </c>
      <c r="M22" s="10">
        <v>5878.8</v>
      </c>
      <c r="N22" s="10">
        <v>5878.8</v>
      </c>
      <c r="O22" s="4"/>
      <c r="P22" s="42">
        <f>SUM(K22:N22)</f>
        <v>23516.36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>
        <f>1220.22+2460.53</f>
        <v>3680.75</v>
      </c>
      <c r="L23" s="10">
        <f>1221.38+2461.13</f>
        <v>3682.51</v>
      </c>
      <c r="M23" s="10">
        <f>1221.38+2461.13</f>
        <v>3682.51</v>
      </c>
      <c r="N23" s="10">
        <f>1221.38+2461.13</f>
        <v>3682.51</v>
      </c>
      <c r="O23" s="4"/>
      <c r="P23" s="42">
        <f>SUM(K23:N23)</f>
        <v>14728.28</v>
      </c>
    </row>
    <row r="24" spans="2:16" x14ac:dyDescent="0.3">
      <c r="B24" s="54" t="s">
        <v>32</v>
      </c>
      <c r="C24" s="10"/>
      <c r="D24" s="10"/>
      <c r="E24" s="10"/>
      <c r="F24" s="10"/>
      <c r="G24" s="10"/>
      <c r="H24" s="10"/>
      <c r="I24" s="10"/>
      <c r="J24" s="10"/>
      <c r="K24" s="10">
        <v>534.24</v>
      </c>
      <c r="L24" s="10">
        <v>585.12</v>
      </c>
      <c r="M24" s="10">
        <v>483.36</v>
      </c>
      <c r="N24" s="10">
        <v>483.36</v>
      </c>
      <c r="O24" s="4"/>
      <c r="P24" s="42">
        <f>SUM(K24:N24)</f>
        <v>2086.0800000000004</v>
      </c>
    </row>
    <row r="25" spans="2:16" x14ac:dyDescent="0.3">
      <c r="B25" s="54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>
        <v>171.89</v>
      </c>
      <c r="N25" s="63"/>
      <c r="O25" s="4"/>
      <c r="P25" s="42">
        <f>SUM(K25:N25)</f>
        <v>171.89</v>
      </c>
    </row>
    <row r="26" spans="2:16" x14ac:dyDescent="0.3">
      <c r="B26" s="8" t="s">
        <v>3</v>
      </c>
      <c r="C26" s="43">
        <f>SUM(C22:C24)</f>
        <v>0</v>
      </c>
      <c r="D26" s="43">
        <f>SUM(D22:D25)</f>
        <v>0</v>
      </c>
      <c r="E26" s="43">
        <f t="shared" ref="E26:J26" si="2">SUM(E22:E25)</f>
        <v>0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>SUM(K22:K24)</f>
        <v>10094.949999999999</v>
      </c>
      <c r="L26" s="43">
        <f>SUM(L22:L24)</f>
        <v>10146.430000000002</v>
      </c>
      <c r="M26" s="43">
        <f>SUM(M22:M25)</f>
        <v>10216.560000000001</v>
      </c>
      <c r="N26" s="43">
        <f>SUM(N22:N25)</f>
        <v>10044.670000000002</v>
      </c>
      <c r="O26" s="4"/>
      <c r="P26" s="59">
        <f>SUM(K26:N26)</f>
        <v>40502.61</v>
      </c>
    </row>
    <row r="27" spans="2:16" x14ac:dyDescent="0.3"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5" t="s">
        <v>28</v>
      </c>
      <c r="C28" s="46">
        <f>C19-C26</f>
        <v>0</v>
      </c>
      <c r="D28" s="46">
        <f t="shared" ref="D28:J28" si="3">D19-D26</f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>K19-K26</f>
        <v>1035.6500000000015</v>
      </c>
      <c r="L28" s="46">
        <f>L19-L26</f>
        <v>2051.369999999999</v>
      </c>
      <c r="M28" s="46">
        <f>M19-M26</f>
        <v>-153.16000000000167</v>
      </c>
      <c r="N28" s="46">
        <f>N19-N26</f>
        <v>18.729999999997744</v>
      </c>
      <c r="P28" s="58">
        <f>SUM(K28:O28)</f>
        <v>2952.5899999999965</v>
      </c>
    </row>
    <row r="30" spans="2:16" x14ac:dyDescent="0.3">
      <c r="B30" s="61" t="s">
        <v>29</v>
      </c>
      <c r="C30" s="53"/>
      <c r="D30" s="53"/>
      <c r="E30" s="53"/>
      <c r="F30" s="53"/>
      <c r="G30" s="53"/>
      <c r="H30" s="53"/>
      <c r="I30" s="53"/>
      <c r="J30" s="53"/>
      <c r="K30" s="53">
        <v>840</v>
      </c>
      <c r="L30" s="53">
        <v>920</v>
      </c>
      <c r="M30" s="53">
        <v>760</v>
      </c>
      <c r="N30" s="53">
        <v>760</v>
      </c>
      <c r="P30" s="60">
        <f>SUM(K30:N30)</f>
        <v>3280</v>
      </c>
    </row>
    <row r="31" spans="2:16" x14ac:dyDescent="0.3">
      <c r="B31" s="61" t="s">
        <v>30</v>
      </c>
      <c r="C31" s="53"/>
      <c r="D31" s="53"/>
      <c r="E31" s="53"/>
      <c r="F31" s="53"/>
      <c r="G31" s="53"/>
      <c r="H31" s="53"/>
      <c r="I31" s="53"/>
      <c r="J31" s="53"/>
      <c r="K31" s="53">
        <v>534.24</v>
      </c>
      <c r="L31" s="53">
        <v>585.12</v>
      </c>
      <c r="M31" s="53">
        <v>483.36</v>
      </c>
      <c r="N31" s="53">
        <v>483.36</v>
      </c>
      <c r="P31" s="60">
        <f>SUM(K31:N31)</f>
        <v>2086.0800000000004</v>
      </c>
    </row>
    <row r="33" spans="14:16" x14ac:dyDescent="0.3">
      <c r="N33" s="53" t="s">
        <v>35</v>
      </c>
      <c r="P33" s="60">
        <f>(P30*0.636)</f>
        <v>2086.08</v>
      </c>
    </row>
    <row r="34" spans="14:16" x14ac:dyDescent="0.3">
      <c r="N34" s="53" t="s">
        <v>36</v>
      </c>
      <c r="P34" s="60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abSelected="1" topLeftCell="A2" workbookViewId="0">
      <selection activeCell="D27" sqref="D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70" t="s">
        <v>9</v>
      </c>
    </row>
    <row r="2" spans="2:16" x14ac:dyDescent="0.3">
      <c r="B2" s="7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>
        <v>19</v>
      </c>
      <c r="E6" s="36">
        <v>19</v>
      </c>
      <c r="F6" s="36">
        <v>19</v>
      </c>
      <c r="G6" s="36">
        <v>19</v>
      </c>
      <c r="H6" s="36">
        <v>19</v>
      </c>
      <c r="I6" s="36">
        <v>19</v>
      </c>
      <c r="J6" s="36">
        <v>19</v>
      </c>
      <c r="K6" s="36"/>
      <c r="L6" s="36"/>
      <c r="M6" s="36"/>
      <c r="N6" s="36"/>
      <c r="O6" s="35"/>
      <c r="P6" s="56">
        <f>SUM(C6:N6)</f>
        <v>152</v>
      </c>
    </row>
    <row r="7" spans="2:16" x14ac:dyDescent="0.3">
      <c r="B7" s="9" t="s">
        <v>21</v>
      </c>
      <c r="C7" s="36">
        <v>19</v>
      </c>
      <c r="D7" s="36">
        <v>20</v>
      </c>
      <c r="E7" s="36">
        <v>21</v>
      </c>
      <c r="F7" s="36">
        <v>20.5</v>
      </c>
      <c r="G7" s="36">
        <v>19</v>
      </c>
      <c r="H7" s="36">
        <v>15</v>
      </c>
      <c r="I7" s="36">
        <v>22</v>
      </c>
      <c r="J7" s="36">
        <v>9</v>
      </c>
      <c r="K7" s="36"/>
      <c r="L7" s="36"/>
      <c r="M7" s="36"/>
      <c r="N7" s="36"/>
      <c r="O7" s="35"/>
      <c r="P7" s="56">
        <f>SUM(C7:N7)</f>
        <v>145.5</v>
      </c>
    </row>
    <row r="8" spans="2:16" x14ac:dyDescent="0.3">
      <c r="B8" s="18" t="s">
        <v>22</v>
      </c>
      <c r="C8" s="62">
        <f>C7-C6</f>
        <v>0</v>
      </c>
      <c r="D8" s="62">
        <f t="shared" ref="D8:L8" si="0">D7-D6</f>
        <v>1</v>
      </c>
      <c r="E8" s="62">
        <f t="shared" si="0"/>
        <v>2</v>
      </c>
      <c r="F8" s="62">
        <f t="shared" si="0"/>
        <v>1.5</v>
      </c>
      <c r="G8" s="62">
        <f t="shared" si="0"/>
        <v>0</v>
      </c>
      <c r="H8" s="62">
        <f t="shared" si="0"/>
        <v>-4</v>
      </c>
      <c r="I8" s="62">
        <f t="shared" si="0"/>
        <v>3</v>
      </c>
      <c r="J8" s="62">
        <f t="shared" si="0"/>
        <v>-10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0</v>
      </c>
      <c r="O8" s="35"/>
      <c r="P8" s="56">
        <f>SUM(C8:N8)</f>
        <v>-6.5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>
        <v>19</v>
      </c>
      <c r="D11" s="11">
        <v>20</v>
      </c>
      <c r="E11" s="11">
        <v>21</v>
      </c>
      <c r="F11" s="11">
        <v>20.5</v>
      </c>
      <c r="G11" s="11">
        <v>18</v>
      </c>
      <c r="H11" s="11">
        <v>15</v>
      </c>
      <c r="I11" s="11">
        <v>22</v>
      </c>
      <c r="J11" s="11">
        <v>9</v>
      </c>
      <c r="K11" s="11"/>
      <c r="L11" s="11"/>
      <c r="M11" s="11"/>
      <c r="N11" s="11"/>
      <c r="P11" s="57">
        <f>SUM(C11:N11)</f>
        <v>144.5</v>
      </c>
    </row>
    <row r="12" spans="2:16" x14ac:dyDescent="0.3">
      <c r="B12" s="9" t="s">
        <v>16</v>
      </c>
      <c r="C12" s="12">
        <v>3</v>
      </c>
      <c r="D12" s="12"/>
      <c r="E12" s="12"/>
      <c r="F12" s="12">
        <v>0.5</v>
      </c>
      <c r="G12" s="12"/>
      <c r="H12" s="12"/>
      <c r="I12" s="12"/>
      <c r="J12" s="12">
        <v>1</v>
      </c>
      <c r="K12" s="12"/>
      <c r="L12" s="12"/>
      <c r="M12" s="12"/>
      <c r="N12" s="12"/>
      <c r="P12" s="57">
        <f>SUM(C12:N12)</f>
        <v>4.5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68" t="s">
        <v>48</v>
      </c>
      <c r="C14" s="69"/>
      <c r="D14" s="69"/>
      <c r="E14" s="69"/>
      <c r="F14" s="69"/>
      <c r="G14" s="69">
        <v>2</v>
      </c>
      <c r="H14" s="69">
        <v>5</v>
      </c>
      <c r="I14" s="69"/>
      <c r="J14" s="69">
        <v>16</v>
      </c>
      <c r="K14" s="69"/>
      <c r="L14" s="69"/>
      <c r="M14" s="69"/>
      <c r="N14" s="69"/>
      <c r="P14" s="57">
        <f>SUM(C14:N14)</f>
        <v>23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7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0"/>
    </row>
    <row r="17" spans="2:16" x14ac:dyDescent="0.3">
      <c r="B17" s="6" t="s">
        <v>0</v>
      </c>
      <c r="C17" s="7"/>
      <c r="D17" s="7"/>
      <c r="E17" s="7"/>
      <c r="F17" s="7"/>
      <c r="G17" s="7"/>
      <c r="H17" s="7"/>
      <c r="I17" s="7"/>
      <c r="J17" s="7"/>
      <c r="K17" s="7"/>
      <c r="L17" s="25"/>
      <c r="M17" s="7"/>
      <c r="N17" s="25"/>
      <c r="P17" s="51"/>
    </row>
    <row r="18" spans="2:16" x14ac:dyDescent="0.3">
      <c r="B18" s="9" t="s">
        <v>6</v>
      </c>
      <c r="C18" s="10">
        <f>C11*Params!$C$5*(1-Params!$C$3)-Params!$C$4</f>
        <v>10063.4</v>
      </c>
      <c r="D18" s="10">
        <f>D11*Params!$C$5*(1-Params!$C$3)-Params!$C$4</f>
        <v>10597</v>
      </c>
      <c r="E18" s="10">
        <f>E11*Params!$C$5*(1-Params!$C$3)-Params!$C$4</f>
        <v>11130.6</v>
      </c>
      <c r="F18" s="10">
        <f>F11*Params!$C$5*(1-Params!$C$3)-Params!$C$4</f>
        <v>10863.800000000001</v>
      </c>
      <c r="G18" s="10">
        <f>G11*Params!$C$5*(1-Params!$C$3)-Params!$C$4</f>
        <v>9529.8000000000011</v>
      </c>
      <c r="H18" s="10">
        <f>H11*Params!$C$5*(1-Params!$C$3)-Params!$C$4</f>
        <v>7929</v>
      </c>
      <c r="I18" s="10">
        <f>I11*Params!$C$5*(1-Params!$C$3)-Params!$C$4</f>
        <v>11664.2</v>
      </c>
      <c r="J18" s="10">
        <f>J11*Params!$C$5*(1-Params!$C$3)-Params!$C$4</f>
        <v>4727.4000000000005</v>
      </c>
      <c r="K18" s="10"/>
      <c r="L18" s="10"/>
      <c r="M18" s="10"/>
      <c r="N18" s="10"/>
      <c r="O18" s="4"/>
      <c r="P18" s="40">
        <f>SUM(C18:N18)</f>
        <v>76505.2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0">
        <f>SUM(C19:N19)</f>
        <v>0</v>
      </c>
    </row>
    <row r="20" spans="2:16" x14ac:dyDescent="0.3">
      <c r="B20" s="27" t="s">
        <v>2</v>
      </c>
      <c r="C20" s="28">
        <f>SUM(C18:C19)</f>
        <v>10063.4</v>
      </c>
      <c r="D20" s="28">
        <f t="shared" ref="D20:K20" si="1">SUM(D18:D19)</f>
        <v>10597</v>
      </c>
      <c r="E20" s="28">
        <f t="shared" si="1"/>
        <v>11130.6</v>
      </c>
      <c r="F20" s="28">
        <f t="shared" si="1"/>
        <v>10863.800000000001</v>
      </c>
      <c r="G20" s="28">
        <f t="shared" si="1"/>
        <v>9529.8000000000011</v>
      </c>
      <c r="H20" s="28">
        <f t="shared" si="1"/>
        <v>7929</v>
      </c>
      <c r="I20" s="28">
        <f t="shared" si="1"/>
        <v>11664.2</v>
      </c>
      <c r="J20" s="28">
        <f t="shared" si="1"/>
        <v>4727.4000000000005</v>
      </c>
      <c r="K20" s="28">
        <f t="shared" si="1"/>
        <v>0</v>
      </c>
      <c r="L20" s="28">
        <f>SUM(L18:L19)</f>
        <v>0</v>
      </c>
      <c r="M20" s="28">
        <f>SUM(M18:M19)</f>
        <v>0</v>
      </c>
      <c r="N20" s="28">
        <f>SUM(N18:N19)</f>
        <v>0</v>
      </c>
      <c r="O20" s="5"/>
      <c r="P20" s="41">
        <f>SUM(C20:O20)</f>
        <v>76505.2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0"/>
      <c r="G22" s="30"/>
      <c r="H22" s="30"/>
      <c r="I22" s="30"/>
      <c r="J22" s="30"/>
      <c r="K22" s="30"/>
      <c r="L22" s="32"/>
      <c r="M22" s="30"/>
      <c r="N22" s="32"/>
      <c r="O22" s="4"/>
      <c r="P22" s="52"/>
    </row>
    <row r="23" spans="2:16" x14ac:dyDescent="0.3">
      <c r="B23" s="9" t="s">
        <v>7</v>
      </c>
      <c r="C23" s="10">
        <v>5877.35</v>
      </c>
      <c r="D23" s="10">
        <v>5877.35</v>
      </c>
      <c r="E23" s="10">
        <v>5877.35</v>
      </c>
      <c r="F23" s="10">
        <v>4877.3500000000004</v>
      </c>
      <c r="G23" s="10">
        <v>4877.3500000000004</v>
      </c>
      <c r="H23" s="10">
        <v>3817.55</v>
      </c>
      <c r="I23" s="10">
        <v>4877.3500000000004</v>
      </c>
      <c r="J23" s="10">
        <v>2229.87</v>
      </c>
      <c r="K23" s="10"/>
      <c r="L23" s="10"/>
      <c r="M23" s="10"/>
      <c r="N23" s="10"/>
      <c r="O23" s="4"/>
      <c r="P23" s="42">
        <f>SUM(C23:N23)</f>
        <v>38311.520000000004</v>
      </c>
    </row>
    <row r="24" spans="2:16" x14ac:dyDescent="0.3">
      <c r="B24" s="9" t="s">
        <v>8</v>
      </c>
      <c r="C24" s="10">
        <f>1227.39+2472.73</f>
        <v>3700.12</v>
      </c>
      <c r="D24" s="10">
        <f>1227.39+2475.37</f>
        <v>3702.76</v>
      </c>
      <c r="E24" s="10">
        <f>1227.39+2467.48</f>
        <v>3694.87</v>
      </c>
      <c r="F24" s="10">
        <f>1227.39+2467.48</f>
        <v>3694.87</v>
      </c>
      <c r="G24" s="10">
        <f>1227.39+2468.79</f>
        <v>3696.1800000000003</v>
      </c>
      <c r="H24" s="10">
        <f>1017.77+2037.2</f>
        <v>3054.9700000000003</v>
      </c>
      <c r="I24" s="10">
        <f>1227.39+2467.47</f>
        <v>3694.8599999999997</v>
      </c>
      <c r="J24" s="10">
        <f>701.31+1390.82</f>
        <v>2092.13</v>
      </c>
      <c r="K24" s="10"/>
      <c r="L24" s="10"/>
      <c r="M24" s="10"/>
      <c r="N24" s="10"/>
      <c r="O24" s="4"/>
      <c r="P24" s="42">
        <f>SUM(C24:N24)</f>
        <v>27330.760000000002</v>
      </c>
    </row>
    <row r="25" spans="2:16" x14ac:dyDescent="0.3">
      <c r="B25" s="54" t="s">
        <v>32</v>
      </c>
      <c r="C25" s="10">
        <v>371.32</v>
      </c>
      <c r="D25" s="10">
        <v>385.6</v>
      </c>
      <c r="E25" s="10">
        <v>399.88</v>
      </c>
      <c r="F25" s="10">
        <v>399.88</v>
      </c>
      <c r="G25" s="10">
        <v>371.32</v>
      </c>
      <c r="H25" s="10">
        <v>324.91000000000003</v>
      </c>
      <c r="I25" s="10">
        <v>414.16</v>
      </c>
      <c r="J25" s="10">
        <v>228.52</v>
      </c>
      <c r="K25" s="10"/>
      <c r="L25" s="10"/>
      <c r="M25" s="10"/>
      <c r="N25" s="10"/>
      <c r="O25" s="4"/>
      <c r="P25" s="42">
        <f>SUM(C25:N25)</f>
        <v>2895.59</v>
      </c>
    </row>
    <row r="26" spans="2:16" x14ac:dyDescent="0.3">
      <c r="B26" s="54" t="s">
        <v>34</v>
      </c>
      <c r="C26" s="10"/>
      <c r="D26" s="10">
        <f>91.54+99</f>
        <v>190.54000000000002</v>
      </c>
      <c r="E26" s="10">
        <v>69.83</v>
      </c>
      <c r="F26" s="10">
        <v>1333.33</v>
      </c>
      <c r="G26" s="10"/>
      <c r="H26" s="10"/>
      <c r="I26" s="10"/>
      <c r="J26" s="10"/>
      <c r="K26" s="10"/>
      <c r="L26" s="10"/>
      <c r="M26" s="10"/>
      <c r="N26" s="10"/>
      <c r="O26" s="4"/>
      <c r="P26" s="42">
        <f>SUM(C26:N26)</f>
        <v>1593.6999999999998</v>
      </c>
    </row>
    <row r="27" spans="2:16" x14ac:dyDescent="0.3">
      <c r="B27" s="54" t="s">
        <v>46</v>
      </c>
      <c r="C27" s="10"/>
      <c r="D27" s="10">
        <v>8000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2">
        <f>SUM(C27:N27)</f>
        <v>8000</v>
      </c>
    </row>
    <row r="28" spans="2:16" x14ac:dyDescent="0.3">
      <c r="B28" s="8" t="s">
        <v>3</v>
      </c>
      <c r="C28" s="43">
        <f>SUM(C23:C27)</f>
        <v>9948.7900000000009</v>
      </c>
      <c r="D28" s="43">
        <f t="shared" ref="D28:N28" si="2">SUM(D23:D27)</f>
        <v>18156.25</v>
      </c>
      <c r="E28" s="43">
        <f t="shared" si="2"/>
        <v>10041.93</v>
      </c>
      <c r="F28" s="43">
        <f t="shared" si="2"/>
        <v>10305.43</v>
      </c>
      <c r="G28" s="43">
        <f t="shared" si="2"/>
        <v>8944.85</v>
      </c>
      <c r="H28" s="43">
        <f t="shared" si="2"/>
        <v>7197.43</v>
      </c>
      <c r="I28" s="43">
        <f t="shared" si="2"/>
        <v>8986.369999999999</v>
      </c>
      <c r="J28" s="43">
        <f t="shared" si="2"/>
        <v>4550.5200000000004</v>
      </c>
      <c r="K28" s="43">
        <f t="shared" si="2"/>
        <v>0</v>
      </c>
      <c r="L28" s="43">
        <f t="shared" si="2"/>
        <v>0</v>
      </c>
      <c r="M28" s="43">
        <f t="shared" si="2"/>
        <v>0</v>
      </c>
      <c r="N28" s="43">
        <f t="shared" si="2"/>
        <v>0</v>
      </c>
      <c r="O28" s="4"/>
      <c r="P28" s="59">
        <f>SUM(C28:N28)</f>
        <v>78131.570000000007</v>
      </c>
    </row>
    <row r="29" spans="2:16" x14ac:dyDescent="0.3">
      <c r="B29" s="4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64" t="s">
        <v>47</v>
      </c>
      <c r="C30" s="65"/>
      <c r="D30" s="65"/>
      <c r="E30" s="65"/>
      <c r="F30" s="65">
        <v>1000</v>
      </c>
      <c r="G30" s="65">
        <v>1000</v>
      </c>
      <c r="H30" s="65">
        <v>1000</v>
      </c>
      <c r="I30" s="65">
        <v>1000</v>
      </c>
      <c r="J30" s="65">
        <v>1000</v>
      </c>
      <c r="K30" s="65"/>
      <c r="L30" s="65"/>
      <c r="M30" s="65"/>
      <c r="N30" s="66"/>
      <c r="P30" s="67">
        <f>SUM(C30:N30)</f>
        <v>5000</v>
      </c>
    </row>
    <row r="31" spans="2:16" x14ac:dyDescent="0.3">
      <c r="B31" s="4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5" t="s">
        <v>28</v>
      </c>
      <c r="C32" s="46">
        <f>C20-C28</f>
        <v>114.60999999999876</v>
      </c>
      <c r="D32" s="46">
        <f t="shared" ref="D32:K32" si="3">D20-D28</f>
        <v>-7559.25</v>
      </c>
      <c r="E32" s="46">
        <f t="shared" si="3"/>
        <v>1088.67</v>
      </c>
      <c r="F32" s="46">
        <f t="shared" si="3"/>
        <v>558.3700000000008</v>
      </c>
      <c r="G32" s="46">
        <f t="shared" si="3"/>
        <v>584.95000000000073</v>
      </c>
      <c r="H32" s="46">
        <f t="shared" si="3"/>
        <v>731.56999999999971</v>
      </c>
      <c r="I32" s="46">
        <f t="shared" si="3"/>
        <v>2677.8300000000017</v>
      </c>
      <c r="J32" s="46">
        <f t="shared" si="3"/>
        <v>176.88000000000011</v>
      </c>
      <c r="K32" s="46">
        <f t="shared" si="3"/>
        <v>0</v>
      </c>
      <c r="L32" s="46">
        <f>L20-L28</f>
        <v>0</v>
      </c>
      <c r="M32" s="46">
        <f>M20-M28</f>
        <v>0</v>
      </c>
      <c r="N32" s="46">
        <f>N20-N28</f>
        <v>0</v>
      </c>
      <c r="P32" s="58">
        <f>SUM(C32:O32)</f>
        <v>-1626.3699999999981</v>
      </c>
    </row>
    <row r="34" spans="2:16" x14ac:dyDescent="0.3">
      <c r="B34" s="61" t="s">
        <v>29</v>
      </c>
      <c r="C34" s="53">
        <v>760</v>
      </c>
      <c r="D34" s="53">
        <v>800</v>
      </c>
      <c r="E34" s="53">
        <v>840</v>
      </c>
      <c r="F34" s="53">
        <v>840</v>
      </c>
      <c r="G34" s="53">
        <v>760</v>
      </c>
      <c r="H34" s="53">
        <v>630</v>
      </c>
      <c r="I34" s="53">
        <v>880</v>
      </c>
      <c r="J34" s="53">
        <v>360</v>
      </c>
      <c r="K34" s="53"/>
      <c r="L34" s="53"/>
      <c r="M34" s="53"/>
      <c r="N34" s="53"/>
      <c r="P34" s="60">
        <f>SUM(C34:N34)</f>
        <v>5870</v>
      </c>
    </row>
    <row r="35" spans="2:16" x14ac:dyDescent="0.3">
      <c r="B35" s="61" t="s">
        <v>30</v>
      </c>
      <c r="C35" s="53">
        <v>371.32</v>
      </c>
      <c r="D35" s="53">
        <v>385.6</v>
      </c>
      <c r="E35" s="53">
        <v>399.88</v>
      </c>
      <c r="F35" s="53">
        <v>399.88</v>
      </c>
      <c r="G35" s="53">
        <v>371.32</v>
      </c>
      <c r="H35" s="53">
        <v>324.91000000000003</v>
      </c>
      <c r="I35" s="53">
        <v>414.16</v>
      </c>
      <c r="J35" s="53">
        <v>228.52</v>
      </c>
      <c r="K35" s="53"/>
      <c r="L35" s="53"/>
      <c r="M35" s="53"/>
      <c r="N35" s="53"/>
      <c r="P35" s="60">
        <f>SUM(C35:N35)</f>
        <v>2895.59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2" t="s">
        <v>23</v>
      </c>
      <c r="C2" s="73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33</v>
      </c>
      <c r="C5" s="33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4" t="s">
        <v>26</v>
      </c>
      <c r="C2" s="74"/>
    </row>
    <row r="3" spans="2:3" ht="16.95" customHeight="1" x14ac:dyDescent="0.3">
      <c r="B3" s="37" t="s">
        <v>27</v>
      </c>
      <c r="C3" s="38">
        <f>'2024'!P28+'2025'!P32</f>
        <v>1326.2199999999984</v>
      </c>
    </row>
    <row r="4" spans="2:3" ht="16.95" customHeight="1" x14ac:dyDescent="0.3">
      <c r="B4" s="37" t="s">
        <v>31</v>
      </c>
      <c r="C4" s="39">
        <f>'2024'!P12+'2025'!P12</f>
        <v>6.5</v>
      </c>
    </row>
    <row r="5" spans="2:3" x14ac:dyDescent="0.3">
      <c r="B5" t="s">
        <v>45</v>
      </c>
      <c r="C5">
        <f>(2.08*12)-C4</f>
        <v>18.46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54</vt:i4>
      </vt:variant>
    </vt:vector>
  </HeadingPairs>
  <TitlesOfParts>
    <vt:vector size="58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2025-09-11T12:58:06Z</dcterms:modified>
</cp:coreProperties>
</file>