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8\Normal\"/>
    </mc:Choice>
  </mc:AlternateContent>
  <xr:revisionPtr revIDLastSave="0" documentId="13_ncr:1_{24D5E5F0-8823-4EF4-9F83-8CA5780DE77C}" xr6:coauthVersionLast="47" xr6:coauthVersionMax="47" xr10:uidLastSave="{00000000-0000-0000-0000-000000000000}"/>
  <bookViews>
    <workbookView xWindow="-108" yWindow="-108" windowWidth="23256" windowHeight="14856" xr2:uid="{00000000-000D-0000-FFFF-FFFF00000000}"/>
  </bookViews>
  <sheets>
    <sheet name="2024" sheetId="14" r:id="rId1"/>
    <sheet name="2025" sheetId="15" r:id="rId2"/>
    <sheet name="Params" sheetId="10" r:id="rId3"/>
    <sheet name="Synthése" sheetId="13" r:id="rId4"/>
  </sheets>
  <definedNames>
    <definedName name="AOUT" localSheetId="0">'2024'!$J$3</definedName>
    <definedName name="AOUT" localSheetId="1">'2025'!$J$3</definedName>
    <definedName name="AOUT">#REF!</definedName>
    <definedName name="AVANCE_SUR_SALAIRE" localSheetId="0">'2024'!#REF!</definedName>
    <definedName name="AVANCE_SUR_SALAIRE" localSheetId="1">'2025'!#REF!</definedName>
    <definedName name="AVANCE_SUR_SALAIRE">#REF!</definedName>
    <definedName name="AVRIL" localSheetId="0">'2024'!$F$3</definedName>
    <definedName name="AVRIL" localSheetId="1">'2025'!$F$3</definedName>
    <definedName name="AVRIL">#REF!</definedName>
    <definedName name="CRA" localSheetId="0">'2024'!$B$10</definedName>
    <definedName name="CRA" localSheetId="1">'2025'!$B$10</definedName>
    <definedName name="CRA">#REF!</definedName>
    <definedName name="CRA_ASTREINTE" localSheetId="0">'2024'!$B$14</definedName>
    <definedName name="CRA_ASTREINTE" localSheetId="1">'2025'!$B$14</definedName>
    <definedName name="CRA_ASTREINTE">#REF!</definedName>
    <definedName name="CRA_CP" localSheetId="0">'2024'!$B$12</definedName>
    <definedName name="CRA_CP" localSheetId="1">'2025'!$B$12</definedName>
    <definedName name="CRA_CP">#REF!</definedName>
    <definedName name="CRA_PRODUCTION" localSheetId="0">'2024'!$B$11</definedName>
    <definedName name="CRA_PRODUCTION" localSheetId="1">'2025'!$B$11</definedName>
    <definedName name="CRA_PRODUCTION">#REF!</definedName>
    <definedName name="CRA_SANS_SOLDE" localSheetId="0">'2024'!$B$13</definedName>
    <definedName name="CRA_SANS_SOLDE" localSheetId="1">'2025'!$B$13</definedName>
    <definedName name="CRA_SANS_SOLDE">#REF!</definedName>
    <definedName name="DECEMBRE" localSheetId="0">'2024'!$N$3</definedName>
    <definedName name="DECEMBRE" localSheetId="1">'2025'!$N$3</definedName>
    <definedName name="DECEMBRE">#REF!</definedName>
    <definedName name="ENTREES" localSheetId="0">'2024'!$B$16</definedName>
    <definedName name="ENTREES" localSheetId="1">'2025'!$B$16</definedName>
    <definedName name="ENTREES">#REF!</definedName>
    <definedName name="ENTREES_ASTREINTE" localSheetId="0">'2024'!$B$18</definedName>
    <definedName name="ENTREES_ASTREINTE" localSheetId="1">'2025'!$B$18</definedName>
    <definedName name="ENTREES_ASTREINTE">#REF!</definedName>
    <definedName name="ENTREES_FACTURE" localSheetId="0">'2024'!$B$17</definedName>
    <definedName name="ENTREES_FACTURE" localSheetId="1">'2025'!$B$17</definedName>
    <definedName name="ENTREES_FACTURE">#REF!</definedName>
    <definedName name="FEVRIER" localSheetId="0">'2024'!$D$3</definedName>
    <definedName name="FEVRIER" localSheetId="1">'2025'!$D$3</definedName>
    <definedName name="FEVRIER">#REF!</definedName>
    <definedName name="FRAIS_KM" localSheetId="0">'2024'!$B$31</definedName>
    <definedName name="FRAIS_KM" localSheetId="1">'2025'!$B$33</definedName>
    <definedName name="JANVIER" localSheetId="0">'2024'!$C$3</definedName>
    <definedName name="JANVIER" localSheetId="1">'2025'!$C$3</definedName>
    <definedName name="JANVIER">#REF!</definedName>
    <definedName name="JUILLET" localSheetId="0">'2024'!$I$3</definedName>
    <definedName name="JUILLET" localSheetId="1">'2025'!$I$3</definedName>
    <definedName name="JUILLET">#REF!</definedName>
    <definedName name="JUIN" localSheetId="0">'2024'!$H$3</definedName>
    <definedName name="JUIN" localSheetId="1">'2025'!$H$3</definedName>
    <definedName name="JUIN">#REF!</definedName>
    <definedName name="MAI" localSheetId="0">'2024'!$G$3</definedName>
    <definedName name="MAI" localSheetId="1">'2025'!$G$3</definedName>
    <definedName name="MAI">#REF!</definedName>
    <definedName name="MARS" localSheetId="0">'2024'!$E$3</definedName>
    <definedName name="MARS" localSheetId="1">'2025'!$E$3</definedName>
    <definedName name="MARS">#REF!</definedName>
    <definedName name="MOIS" localSheetId="0">'2024'!$B$3</definedName>
    <definedName name="MOIS" localSheetId="1">'2025'!$B$3</definedName>
    <definedName name="MOIS">#REF!</definedName>
    <definedName name="NOMBRE_KM" localSheetId="0">'2024'!$B$30</definedName>
    <definedName name="NOMBRE_KM" localSheetId="1">'2025'!$B$32</definedName>
    <definedName name="NOVEMBRE" localSheetId="0">'2024'!$M$3</definedName>
    <definedName name="NOVEMBRE" localSheetId="1">'2025'!$M$3</definedName>
    <definedName name="NOVEMBRE">#REF!</definedName>
    <definedName name="OCTOBRE" localSheetId="0">'2024'!$L$3</definedName>
    <definedName name="OCTOBRE" localSheetId="1">'2025'!$L$3</definedName>
    <definedName name="OCTOBRE">#REF!</definedName>
    <definedName name="REPAS" localSheetId="0">'2024'!$B$5</definedName>
    <definedName name="REPAS" localSheetId="1">'2025'!$B$5</definedName>
    <definedName name="REPAS">#REF!</definedName>
    <definedName name="REPAS_ACQUIS" localSheetId="0">'2024'!$B$7</definedName>
    <definedName name="REPAS_ACQUIS" localSheetId="1">'2025'!$B$7</definedName>
    <definedName name="REPAS_ACQUIS">#REF!</definedName>
    <definedName name="REPAS_PRIS" localSheetId="0">'2024'!$B$6</definedName>
    <definedName name="REPAS_PRIS" localSheetId="1">'2025'!$B$6</definedName>
    <definedName name="REPAS_PRIS">#REF!</definedName>
    <definedName name="REPAS_SOLDE" localSheetId="0">'2024'!$B$8</definedName>
    <definedName name="REPAS_SOLDE" localSheetId="1">'2025'!$B$8</definedName>
    <definedName name="REPAS_SOLDE">#REF!</definedName>
    <definedName name="SEPTEMBRE" localSheetId="0">'2024'!$K$3</definedName>
    <definedName name="SEPTEMBRE" localSheetId="1">'2025'!$K$3</definedName>
    <definedName name="SEPTEMBRE">#REF!</definedName>
    <definedName name="SOLDE" localSheetId="0">'2024'!$B$28</definedName>
    <definedName name="SOLDE" localSheetId="1">'2025'!$B$30</definedName>
    <definedName name="SORTIES" localSheetId="0">'2024'!$B$22</definedName>
    <definedName name="SORTIES" localSheetId="1">'2025'!$B$22</definedName>
    <definedName name="SORTIES">#REF!</definedName>
    <definedName name="SORTIES_ABONDEMENT" localSheetId="0">'2024'!#REF!</definedName>
    <definedName name="SORTIES_ABONDEMENT" localSheetId="1">'2025'!#REF!</definedName>
    <definedName name="SORTIES_ABONDEMENT">#REF!</definedName>
    <definedName name="SORTIES_CHARGES_SOCIALES_PATRONALES" localSheetId="0">'2024'!$B$24</definedName>
    <definedName name="SORTIES_CHARGES_SOCIALES_PATRONALES" localSheetId="1">'2025'!$B$24</definedName>
    <definedName name="SORTIES_CHARGES_SOCIALES_PATRONALES">#REF!</definedName>
    <definedName name="SORTIES_FRAIS_KM" localSheetId="0">'2024'!$B$25</definedName>
    <definedName name="SORTIES_FRAIS_KM" localSheetId="1">'2025'!$B$25</definedName>
    <definedName name="SORTIES_FRAIS_PEE_AMUNDI" localSheetId="0">'2024'!#REF!</definedName>
    <definedName name="SORTIES_FRAIS_PEE_AMUNDI" localSheetId="1">'2025'!#REF!</definedName>
    <definedName name="SORTIES_FRAIS_PEE_AMUNDI">#REF!</definedName>
    <definedName name="SORTIES_INTERESSEMENT" localSheetId="0">'2024'!#REF!</definedName>
    <definedName name="SORTIES_INTERESSEMENT" localSheetId="1">'2025'!#REF!</definedName>
    <definedName name="SORTIES_INTERESSEMENT">#REF!</definedName>
    <definedName name="SORTIES_SALAIRE_NET" localSheetId="0">'2024'!$B$23</definedName>
    <definedName name="SORTIES_SALAIRE_NET" localSheetId="1">'2025'!$B$23</definedName>
    <definedName name="SORTIES_SALAIRE_NET">#REF!</definedName>
    <definedName name="TOTAL" localSheetId="0">'2024'!$P$3</definedName>
    <definedName name="TOTAL" localSheetId="1">'2025'!$P$3</definedName>
    <definedName name="TOTAL">#REF!</definedName>
    <definedName name="TOTAL_ENTREES" localSheetId="0">'2024'!$B$20</definedName>
    <definedName name="TOTAL_ENTREES" localSheetId="1">'2025'!$B$20</definedName>
    <definedName name="TOTAL_ENTREES">#REF!</definedName>
    <definedName name="TOTAL_SORTIES" localSheetId="0">'2024'!$B$26</definedName>
    <definedName name="TOTAL_SORTIES" localSheetId="1">'2025'!$B$28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J28" i="15" l="1"/>
  <c r="J24" i="15"/>
  <c r="J17" i="15"/>
  <c r="I24" i="15" l="1"/>
  <c r="I17" i="15"/>
  <c r="H24" i="15" l="1"/>
  <c r="H17" i="15"/>
  <c r="G24" i="15" l="1"/>
  <c r="G17" i="15"/>
  <c r="F24" i="15" l="1"/>
  <c r="F17" i="15"/>
  <c r="F28" i="15" l="1"/>
  <c r="G28" i="15"/>
  <c r="H28" i="15"/>
  <c r="I28" i="15"/>
  <c r="K28" i="15"/>
  <c r="L28" i="15"/>
  <c r="M28" i="15"/>
  <c r="N28" i="15"/>
  <c r="F20" i="15"/>
  <c r="G20" i="15"/>
  <c r="H20" i="15"/>
  <c r="H30" i="15" s="1"/>
  <c r="I20" i="15"/>
  <c r="J20" i="15"/>
  <c r="K20" i="15"/>
  <c r="L20" i="15"/>
  <c r="M20" i="15"/>
  <c r="N20" i="15"/>
  <c r="P33" i="15"/>
  <c r="P32" i="15"/>
  <c r="P35" i="15" s="1"/>
  <c r="P25" i="15"/>
  <c r="E24" i="15"/>
  <c r="E28" i="15" s="1"/>
  <c r="D24" i="15"/>
  <c r="D28" i="15" s="1"/>
  <c r="C24" i="15"/>
  <c r="C28" i="15" s="1"/>
  <c r="P23" i="15"/>
  <c r="P18" i="15"/>
  <c r="E17" i="15"/>
  <c r="E20" i="15" s="1"/>
  <c r="D17" i="15"/>
  <c r="D20" i="15" s="1"/>
  <c r="C17" i="15"/>
  <c r="C20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1" i="14"/>
  <c r="P30" i="14"/>
  <c r="P33" i="14" s="1"/>
  <c r="F26" i="14"/>
  <c r="E26" i="14"/>
  <c r="D26" i="14"/>
  <c r="C26" i="14"/>
  <c r="P25" i="14"/>
  <c r="N24" i="14"/>
  <c r="N26" i="14" s="1"/>
  <c r="M24" i="14"/>
  <c r="M26" i="14" s="1"/>
  <c r="L24" i="14"/>
  <c r="L26" i="14" s="1"/>
  <c r="K24" i="14"/>
  <c r="K26" i="14" s="1"/>
  <c r="J24" i="14"/>
  <c r="J26" i="14" s="1"/>
  <c r="I24" i="14"/>
  <c r="I26" i="14" s="1"/>
  <c r="H24" i="14"/>
  <c r="H26" i="14" s="1"/>
  <c r="G24" i="14"/>
  <c r="G26" i="14" s="1"/>
  <c r="P23" i="14"/>
  <c r="F20" i="14"/>
  <c r="E20" i="14"/>
  <c r="D20" i="14"/>
  <c r="C20" i="14"/>
  <c r="P19" i="14"/>
  <c r="P18" i="14"/>
  <c r="N17" i="14"/>
  <c r="N20" i="14" s="1"/>
  <c r="M17" i="14"/>
  <c r="M20" i="14" s="1"/>
  <c r="L17" i="14"/>
  <c r="L20" i="14" s="1"/>
  <c r="K17" i="14"/>
  <c r="K20" i="14" s="1"/>
  <c r="J17" i="14"/>
  <c r="J20" i="14" s="1"/>
  <c r="I17" i="14"/>
  <c r="I20" i="14" s="1"/>
  <c r="I28" i="14" s="1"/>
  <c r="H17" i="14"/>
  <c r="H20" i="14" s="1"/>
  <c r="G17" i="14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C28" i="14" l="1"/>
  <c r="G30" i="15"/>
  <c r="J28" i="14"/>
  <c r="K30" i="15"/>
  <c r="P8" i="14"/>
  <c r="P17" i="14"/>
  <c r="H28" i="14"/>
  <c r="P34" i="14"/>
  <c r="I30" i="15"/>
  <c r="K28" i="14"/>
  <c r="F28" i="14"/>
  <c r="D28" i="14"/>
  <c r="N30" i="15"/>
  <c r="E28" i="14"/>
  <c r="N28" i="14"/>
  <c r="C4" i="13"/>
  <c r="C5" i="13" s="1"/>
  <c r="L28" i="14"/>
  <c r="F30" i="15"/>
  <c r="M30" i="15"/>
  <c r="M28" i="14"/>
  <c r="G20" i="14"/>
  <c r="G28" i="14" s="1"/>
  <c r="P24" i="14"/>
  <c r="P36" i="15"/>
  <c r="P8" i="15"/>
  <c r="L30" i="15"/>
  <c r="J30" i="15"/>
  <c r="E30" i="15"/>
  <c r="P28" i="15"/>
  <c r="C30" i="15"/>
  <c r="D30" i="15"/>
  <c r="P20" i="15"/>
  <c r="P26" i="14"/>
  <c r="P17" i="15"/>
  <c r="P24" i="15"/>
  <c r="P28" i="14" l="1"/>
  <c r="P20" i="14"/>
  <c r="P30" i="15"/>
  <c r="C3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J27" authorId="0" shapeId="0" xr:uid="{89D01275-CBEA-4B21-BD84-CE0719AAD034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à déduire de son salaire de septembre</t>
        </r>
      </text>
    </comment>
  </commentList>
</comments>
</file>

<file path=xl/sharedStrings.xml><?xml version="1.0" encoding="utf-8"?>
<sst xmlns="http://schemas.openxmlformats.org/spreadsheetml/2006/main" count="88" uniqueCount="49">
  <si>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</si>
  <si>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</si>
  <si>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</si>
  <si>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</si>
  <si>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</si>
  <si>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</si>
  <si>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</si>
  <si>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</si>
  <si>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</si>
  <si>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</si>
  <si>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</si>
  <si>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</si>
  <si>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</si>
  <si>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</si>
  <si>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</si>
  <si>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</si>
  <si>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</si>
  <si>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</si>
  <si>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</si>
  <si>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</si>
  <si>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</si>
  <si>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</si>
  <si>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</si>
  <si>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</si>
  <si>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</si>
  <si>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</si>
  <si>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</si>
  <si>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</si>
  <si>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</si>
  <si>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</si>
  <si>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</si>
  <si>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</si>
  <si>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</si>
  <si>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</si>
  <si>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</si>
  <si>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</si>
  <si>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</si>
  <si>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</si>
  <si>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</si>
  <si>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</si>
  <si>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</si>
  <si>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(Mai 2024)</t>
  </si>
  <si>
    <t>Frais KM annuel à payer</t>
  </si>
  <si>
    <t>Régularisation Frais KM</t>
  </si>
  <si>
    <t>Solde Congé</t>
  </si>
  <si>
    <t>Frais Refacturés</t>
  </si>
  <si>
    <t>Frais Refacturer</t>
  </si>
  <si>
    <t>Frais refacturer</t>
  </si>
  <si>
    <t>Acompte versé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</si>
</sst>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4" fontId="1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4"/>
  <sheetViews>
    <sheetView tabSelected="1" topLeftCell="B1" workbookViewId="0">
      <selection activeCell="N26" sqref="N26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>
        <v>19</v>
      </c>
      <c r="H6" s="37">
        <v>19</v>
      </c>
      <c r="I6" s="37">
        <v>19</v>
      </c>
      <c r="J6" s="37">
        <v>14</v>
      </c>
      <c r="K6" s="37">
        <v>15</v>
      </c>
      <c r="L6" s="37">
        <v>19</v>
      </c>
      <c r="M6" s="37">
        <v>19</v>
      </c>
      <c r="N6" s="37">
        <v>19</v>
      </c>
      <c r="O6" s="36"/>
      <c r="P6" s="57">
        <f>SUM(C6:N6)</f>
        <v>143</v>
      </c>
    </row>
    <row r="7" spans="2:16" x14ac:dyDescent="0.3">
      <c r="B7" s="9" t="s">
        <v>21</v>
      </c>
      <c r="C7" s="37"/>
      <c r="D7" s="37"/>
      <c r="E7" s="37"/>
      <c r="F7" s="37"/>
      <c r="G7" s="37">
        <v>18</v>
      </c>
      <c r="H7" s="37">
        <v>20</v>
      </c>
      <c r="I7" s="37">
        <v>23</v>
      </c>
      <c r="J7" s="37">
        <v>10</v>
      </c>
      <c r="K7" s="37">
        <v>15</v>
      </c>
      <c r="L7" s="37">
        <v>23</v>
      </c>
      <c r="M7" s="37">
        <v>19</v>
      </c>
      <c r="N7" s="37">
        <v>15</v>
      </c>
      <c r="O7" s="36"/>
      <c r="P7" s="57">
        <f>SUM(C7:N7)</f>
        <v>143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-1</v>
      </c>
      <c r="H8" s="63">
        <f t="shared" si="0"/>
        <v>1</v>
      </c>
      <c r="I8" s="63">
        <f t="shared" si="0"/>
        <v>4</v>
      </c>
      <c r="J8" s="63">
        <f t="shared" si="0"/>
        <v>-4</v>
      </c>
      <c r="K8" s="63">
        <f t="shared" si="0"/>
        <v>0</v>
      </c>
      <c r="L8" s="63">
        <f t="shared" si="0"/>
        <v>4</v>
      </c>
      <c r="M8" s="63">
        <f t="shared" si="0"/>
        <v>0</v>
      </c>
      <c r="N8" s="63">
        <f t="shared" si="0"/>
        <v>-4</v>
      </c>
      <c r="O8" s="36"/>
      <c r="P8" s="57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>
        <v>18</v>
      </c>
      <c r="H11" s="11">
        <v>20</v>
      </c>
      <c r="I11" s="11">
        <v>23</v>
      </c>
      <c r="J11" s="11">
        <v>10</v>
      </c>
      <c r="K11" s="11">
        <v>15</v>
      </c>
      <c r="L11" s="11">
        <v>23</v>
      </c>
      <c r="M11" s="11">
        <v>19</v>
      </c>
      <c r="N11" s="11">
        <v>15</v>
      </c>
      <c r="P11" s="58">
        <f>SUM(C11:N11)</f>
        <v>143</v>
      </c>
    </row>
    <row r="12" spans="2:16" x14ac:dyDescent="0.3">
      <c r="B12" s="9" t="s">
        <v>16</v>
      </c>
      <c r="C12" s="12"/>
      <c r="D12" s="12"/>
      <c r="E12" s="12"/>
      <c r="F12" s="12"/>
      <c r="G12" s="12">
        <v>1</v>
      </c>
      <c r="H12" s="12"/>
      <c r="I12" s="12"/>
      <c r="J12" s="12">
        <v>11</v>
      </c>
      <c r="K12" s="12">
        <v>0</v>
      </c>
      <c r="L12" s="12"/>
      <c r="M12" s="12"/>
      <c r="N12" s="12">
        <v>6</v>
      </c>
      <c r="P12" s="58">
        <f>SUM(C12:N12)</f>
        <v>18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>
        <v>6</v>
      </c>
      <c r="L13" s="12"/>
      <c r="M13" s="12"/>
      <c r="N13" s="12"/>
      <c r="P13" s="58">
        <f>SUM(C13:N13)</f>
        <v>6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>
        <f>G11*Params!$C$5*(1-Params!$C$3)-Params!$C$4</f>
        <v>5224.2</v>
      </c>
      <c r="H17" s="10">
        <f>H11*Params!$C$5*(1-Params!$C$3)-Params!$C$4</f>
        <v>5813</v>
      </c>
      <c r="I17" s="10">
        <f>I11*Params!$C$5*(1-Params!$C$3)-Params!$C$4</f>
        <v>6696.2000000000007</v>
      </c>
      <c r="J17" s="10">
        <f>J11*Params!$C$5*(1-Params!$C$3)-Params!$C$4</f>
        <v>2869</v>
      </c>
      <c r="K17" s="10">
        <f>K11*Params!$C$5*(1-Params!$C$3)-Params!$C$4</f>
        <v>4341</v>
      </c>
      <c r="L17" s="10">
        <f>L11*Params!$C$5*(1-Params!$C$3)-Params!$C$4</f>
        <v>6696.2000000000007</v>
      </c>
      <c r="M17" s="10">
        <f>M11*Params!$C$5*(1-Params!$C$3)-Params!$C$4</f>
        <v>5518.6</v>
      </c>
      <c r="N17" s="10">
        <f>N11*Params!$C$5*(1-Params!$C$3)-Params!$C$4</f>
        <v>4341</v>
      </c>
      <c r="O17" s="4"/>
      <c r="P17" s="41">
        <f>SUM(C17:N17)</f>
        <v>41499.200000000004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55" t="s">
        <v>45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4"/>
      <c r="P19" s="41">
        <f>SUM(C19:N19)</f>
        <v>0</v>
      </c>
    </row>
    <row r="20" spans="2:16" x14ac:dyDescent="0.3">
      <c r="B20" s="27" t="s">
        <v>2</v>
      </c>
      <c r="C20" s="28">
        <f t="shared" ref="C20:M20" si="1">SUM(C17:C18)</f>
        <v>0</v>
      </c>
      <c r="D20" s="28">
        <f t="shared" si="1"/>
        <v>0</v>
      </c>
      <c r="E20" s="28">
        <f t="shared" si="1"/>
        <v>0</v>
      </c>
      <c r="F20" s="28">
        <f t="shared" si="1"/>
        <v>0</v>
      </c>
      <c r="G20" s="28">
        <f t="shared" si="1"/>
        <v>5224.2</v>
      </c>
      <c r="H20" s="28">
        <f t="shared" si="1"/>
        <v>5813</v>
      </c>
      <c r="I20" s="28">
        <f t="shared" si="1"/>
        <v>6696.2000000000007</v>
      </c>
      <c r="J20" s="28">
        <f t="shared" si="1"/>
        <v>2869</v>
      </c>
      <c r="K20" s="28">
        <f t="shared" si="1"/>
        <v>4341</v>
      </c>
      <c r="L20" s="28">
        <f t="shared" si="1"/>
        <v>6696.2000000000007</v>
      </c>
      <c r="M20" s="28">
        <f t="shared" si="1"/>
        <v>5518.6</v>
      </c>
      <c r="N20" s="28">
        <f>SUM(N17:N19)</f>
        <v>4341</v>
      </c>
      <c r="O20" s="5"/>
      <c r="P20" s="42">
        <f>SUM(C20:O20)</f>
        <v>41499.200000000004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/>
      <c r="D23" s="10"/>
      <c r="E23" s="10"/>
      <c r="F23" s="10"/>
      <c r="G23" s="10">
        <v>3230.02</v>
      </c>
      <c r="H23" s="10">
        <v>3230.02</v>
      </c>
      <c r="I23" s="10">
        <v>3230.02</v>
      </c>
      <c r="J23" s="10">
        <v>3176.2</v>
      </c>
      <c r="K23" s="10">
        <v>2334.89</v>
      </c>
      <c r="L23" s="10">
        <v>3230.02</v>
      </c>
      <c r="M23" s="10">
        <v>3230.02</v>
      </c>
      <c r="N23" s="10">
        <v>3230.02</v>
      </c>
      <c r="O23" s="4"/>
      <c r="P23" s="43">
        <f>SUM(C23:N23)</f>
        <v>24891.21</v>
      </c>
    </row>
    <row r="24" spans="2:16" x14ac:dyDescent="0.3">
      <c r="B24" s="9" t="s">
        <v>8</v>
      </c>
      <c r="C24" s="10"/>
      <c r="D24" s="10"/>
      <c r="E24" s="10"/>
      <c r="F24" s="10"/>
      <c r="G24" s="10">
        <f>744.96+1198.91</f>
        <v>1943.8700000000001</v>
      </c>
      <c r="H24" s="10">
        <f>744.96+1200.29</f>
        <v>1945.25</v>
      </c>
      <c r="I24" s="10">
        <f>744.96+1200.57</f>
        <v>1945.53</v>
      </c>
      <c r="J24" s="10">
        <f>738.18+1182.57</f>
        <v>1920.75</v>
      </c>
      <c r="K24" s="10">
        <f>555.13+901.42</f>
        <v>1456.55</v>
      </c>
      <c r="L24" s="10">
        <f>744.96+1200.57</f>
        <v>1945.53</v>
      </c>
      <c r="M24" s="10">
        <f>744.96+1200.57</f>
        <v>1945.53</v>
      </c>
      <c r="N24" s="10">
        <f>744.96+1200.57</f>
        <v>1945.53</v>
      </c>
      <c r="O24" s="4"/>
      <c r="P24" s="43">
        <f>SUM(C24:N24)</f>
        <v>15048.54</v>
      </c>
    </row>
    <row r="25" spans="2:16" x14ac:dyDescent="0.3">
      <c r="B25" s="55" t="s">
        <v>40</v>
      </c>
      <c r="C25" s="10"/>
      <c r="D25" s="10"/>
      <c r="E25" s="10"/>
      <c r="F25" s="10"/>
      <c r="G25" s="10">
        <v>239.4</v>
      </c>
      <c r="H25" s="10">
        <v>266</v>
      </c>
      <c r="I25" s="10">
        <v>305.89999999999998</v>
      </c>
      <c r="J25" s="10">
        <v>133</v>
      </c>
      <c r="K25" s="10">
        <v>199.5</v>
      </c>
      <c r="L25" s="10">
        <v>305.89999999999998</v>
      </c>
      <c r="M25" s="10">
        <v>252.7</v>
      </c>
      <c r="N25" s="10">
        <v>199.5</v>
      </c>
      <c r="O25" s="4"/>
      <c r="P25" s="43">
        <f>SUM(C25:N25)</f>
        <v>1901.8999999999999</v>
      </c>
    </row>
    <row r="26" spans="2:16" x14ac:dyDescent="0.3">
      <c r="B26" s="8" t="s">
        <v>3</v>
      </c>
      <c r="C26" s="44">
        <f>SUM(C23:C25)</f>
        <v>0</v>
      </c>
      <c r="D26" s="44">
        <f>SUM(D23:D25)</f>
        <v>0</v>
      </c>
      <c r="E26" s="44">
        <f>SUM(E23:E25)</f>
        <v>0</v>
      </c>
      <c r="F26" s="44">
        <f>SUM(F23:F25)</f>
        <v>0</v>
      </c>
      <c r="G26" s="44">
        <f>SUM(G23:G25)</f>
        <v>5413.29</v>
      </c>
      <c r="H26" s="44">
        <f>SUM(H23:H25)</f>
        <v>5441.27</v>
      </c>
      <c r="I26" s="44">
        <f>SUM(I23:I25)</f>
        <v>5481.45</v>
      </c>
      <c r="J26" s="44">
        <f>SUM(J23:J25)</f>
        <v>5229.95</v>
      </c>
      <c r="K26" s="44">
        <f>SUM(K23:K25)</f>
        <v>3990.9399999999996</v>
      </c>
      <c r="L26" s="44">
        <f>SUM(L23:L25)</f>
        <v>5481.45</v>
      </c>
      <c r="M26" s="44">
        <f>SUM(M23:M25)</f>
        <v>5428.25</v>
      </c>
      <c r="N26" s="44">
        <f>SUM(N23:N25)</f>
        <v>5375.05</v>
      </c>
      <c r="O26" s="4"/>
      <c r="P26" s="60">
        <f>SUM(C26:N26)</f>
        <v>41841.650000000009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>C20-C26</f>
        <v>0</v>
      </c>
      <c r="D28" s="47">
        <f>D20-D26</f>
        <v>0</v>
      </c>
      <c r="E28" s="47">
        <f>E20-E26</f>
        <v>0</v>
      </c>
      <c r="F28" s="47">
        <f>F20-F26</f>
        <v>0</v>
      </c>
      <c r="G28" s="47">
        <f>G20-G26</f>
        <v>-189.09000000000015</v>
      </c>
      <c r="H28" s="47">
        <f>H20-H26</f>
        <v>371.72999999999956</v>
      </c>
      <c r="I28" s="47">
        <f>I20-I26</f>
        <v>1214.7500000000009</v>
      </c>
      <c r="J28" s="47">
        <f>J20-J26</f>
        <v>-2360.9499999999998</v>
      </c>
      <c r="K28" s="47">
        <f>K20-K26</f>
        <v>350.0600000000004</v>
      </c>
      <c r="L28" s="47">
        <f>L20-L26</f>
        <v>1214.7500000000009</v>
      </c>
      <c r="M28" s="47">
        <f>M20-M26</f>
        <v>90.350000000000364</v>
      </c>
      <c r="N28" s="47">
        <f>N20-N26</f>
        <v>-1034.0500000000002</v>
      </c>
      <c r="P28" s="59">
        <f>SUM(C28:O28)</f>
        <v>-342.449999999998</v>
      </c>
    </row>
    <row r="30" spans="2:16" x14ac:dyDescent="0.3">
      <c r="B30" s="62" t="s">
        <v>37</v>
      </c>
      <c r="C30" s="54"/>
      <c r="D30" s="54"/>
      <c r="E30" s="54"/>
      <c r="F30" s="54"/>
      <c r="G30" s="54">
        <v>360</v>
      </c>
      <c r="H30" s="54">
        <v>400</v>
      </c>
      <c r="I30" s="54">
        <v>460</v>
      </c>
      <c r="J30" s="54">
        <v>200</v>
      </c>
      <c r="K30" s="54">
        <v>300</v>
      </c>
      <c r="L30" s="54">
        <v>460</v>
      </c>
      <c r="M30" s="54">
        <v>380</v>
      </c>
      <c r="N30" s="54">
        <v>300</v>
      </c>
      <c r="P30" s="61">
        <f>SUM(C30:N30)</f>
        <v>2860</v>
      </c>
    </row>
    <row r="31" spans="2:16" x14ac:dyDescent="0.3">
      <c r="B31" s="62" t="s">
        <v>38</v>
      </c>
      <c r="C31" s="54"/>
      <c r="D31" s="54"/>
      <c r="E31" s="54"/>
      <c r="F31" s="54"/>
      <c r="G31" s="54">
        <v>239.4</v>
      </c>
      <c r="H31" s="54">
        <v>266</v>
      </c>
      <c r="I31" s="54">
        <v>305.89999999999998</v>
      </c>
      <c r="J31" s="54">
        <v>133</v>
      </c>
      <c r="K31" s="54">
        <v>199.5</v>
      </c>
      <c r="L31" s="54">
        <v>305.89999999999998</v>
      </c>
      <c r="M31" s="54">
        <v>252.7</v>
      </c>
      <c r="N31" s="54">
        <v>199.5</v>
      </c>
      <c r="P31" s="61">
        <f>SUM(C31:N31)</f>
        <v>1901.8999999999999</v>
      </c>
    </row>
    <row r="33" spans="14:16" x14ac:dyDescent="0.3">
      <c r="N33" s="54" t="s">
        <v>42</v>
      </c>
      <c r="P33" s="61">
        <f>P30*0.665</f>
        <v>1901.9</v>
      </c>
    </row>
    <row r="34" spans="14:16" x14ac:dyDescent="0.3">
      <c r="N34" s="54" t="s">
        <v>43</v>
      </c>
      <c r="P34" s="61">
        <f>P33-P31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6"/>
  <sheetViews>
    <sheetView topLeftCell="B1" workbookViewId="0">
      <selection activeCell="J34" sqref="J34"/>
    </sheetView>
  </sheetViews>
  <sheetFormatPr baseColWidth="10" defaultRowHeight="14.4" x14ac:dyDescent="0.3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/>
      <c r="L6" s="37"/>
      <c r="M6" s="37"/>
      <c r="N6" s="37"/>
      <c r="O6" s="36"/>
      <c r="P6" s="57">
        <f>SUM(C6:N6)</f>
        <v>152</v>
      </c>
    </row>
    <row r="7" spans="2:16" x14ac:dyDescent="0.3">
      <c r="B7" s="9" t="s">
        <v>21</v>
      </c>
      <c r="C7" s="37">
        <v>20</v>
      </c>
      <c r="D7" s="37">
        <v>20</v>
      </c>
      <c r="E7" s="37">
        <v>18</v>
      </c>
      <c r="F7" s="37">
        <v>21</v>
      </c>
      <c r="G7" s="37">
        <v>17</v>
      </c>
      <c r="H7" s="37">
        <v>18.5</v>
      </c>
      <c r="I7" s="37">
        <v>22</v>
      </c>
      <c r="J7" s="37">
        <v>20</v>
      </c>
      <c r="K7" s="37"/>
      <c r="L7" s="37"/>
      <c r="M7" s="37"/>
      <c r="N7" s="37"/>
      <c r="O7" s="36"/>
      <c r="P7" s="57">
        <f>SUM(C7:N7)</f>
        <v>156.5</v>
      </c>
    </row>
    <row r="8" spans="2:16" x14ac:dyDescent="0.3">
      <c r="B8" s="18" t="s">
        <v>22</v>
      </c>
      <c r="C8" s="63">
        <f t="shared" ref="C8:N8" si="0">C7-C6</f>
        <v>1</v>
      </c>
      <c r="D8" s="63">
        <f t="shared" si="0"/>
        <v>1</v>
      </c>
      <c r="E8" s="63">
        <f t="shared" si="0"/>
        <v>-1</v>
      </c>
      <c r="F8" s="63">
        <f t="shared" si="0"/>
        <v>2</v>
      </c>
      <c r="G8" s="63">
        <f t="shared" si="0"/>
        <v>-2</v>
      </c>
      <c r="H8" s="63">
        <f t="shared" si="0"/>
        <v>-0.5</v>
      </c>
      <c r="I8" s="63">
        <f t="shared" si="0"/>
        <v>3</v>
      </c>
      <c r="J8" s="63">
        <f t="shared" si="0"/>
        <v>1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4.5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20</v>
      </c>
      <c r="D11" s="11">
        <v>20</v>
      </c>
      <c r="E11" s="11">
        <v>18</v>
      </c>
      <c r="F11" s="11">
        <v>21</v>
      </c>
      <c r="G11" s="11">
        <v>17</v>
      </c>
      <c r="H11" s="11">
        <v>18.5</v>
      </c>
      <c r="I11" s="11">
        <v>22</v>
      </c>
      <c r="J11" s="11">
        <v>20</v>
      </c>
      <c r="K11" s="11"/>
      <c r="L11" s="11"/>
      <c r="M11" s="11"/>
      <c r="N11" s="11"/>
      <c r="P11" s="58">
        <f>SUM(C11:N11)</f>
        <v>156.5</v>
      </c>
    </row>
    <row r="12" spans="2:16" x14ac:dyDescent="0.3">
      <c r="B12" s="9" t="s">
        <v>16</v>
      </c>
      <c r="C12" s="12">
        <v>1</v>
      </c>
      <c r="D12" s="12"/>
      <c r="E12" s="12">
        <v>3</v>
      </c>
      <c r="F12" s="12"/>
      <c r="G12" s="12">
        <v>2</v>
      </c>
      <c r="H12" s="12">
        <v>1.5</v>
      </c>
      <c r="I12" s="12"/>
      <c r="J12" s="12"/>
      <c r="K12" s="12"/>
      <c r="L12" s="12"/>
      <c r="M12" s="12"/>
      <c r="N12" s="12"/>
      <c r="P12" s="58">
        <f>SUM(C12:N12)</f>
        <v>7.5</v>
      </c>
    </row>
    <row r="13" spans="2:16" x14ac:dyDescent="0.3">
      <c r="B13" s="9" t="s">
        <v>17</v>
      </c>
      <c r="C13" s="12">
        <v>1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1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5813</v>
      </c>
      <c r="D17" s="10">
        <f>D11*Params!$C$5*(1-Params!$C$3)-Params!$C$4</f>
        <v>5813</v>
      </c>
      <c r="E17" s="10">
        <f>E11*Params!$C$5*(1-Params!$C$3)-Params!$C$4</f>
        <v>5224.2</v>
      </c>
      <c r="F17" s="10">
        <f>F11*Params!$C$5*(1-Params!$C$3)-Params!$C$4</f>
        <v>6107.4000000000005</v>
      </c>
      <c r="G17" s="10">
        <f>G11*Params!$C$5*(1-Params!$C$3)-Params!$C$4</f>
        <v>4929.8</v>
      </c>
      <c r="H17" s="10">
        <f>H11*Params!$C$5*(1-Params!$C$3)-Params!$C$4</f>
        <v>5371.4000000000005</v>
      </c>
      <c r="I17" s="10">
        <f>I11*Params!$C$5*(1-Params!$C$3)-Params!$C$4</f>
        <v>6401.8</v>
      </c>
      <c r="J17" s="10">
        <f>J11*Params!$C$5*(1-Params!$C$3)-Params!$C$4</f>
        <v>5813</v>
      </c>
      <c r="K17" s="10"/>
      <c r="L17" s="10"/>
      <c r="M17" s="10"/>
      <c r="N17" s="10"/>
      <c r="O17" s="4"/>
      <c r="P17" s="41">
        <f>SUM(C17:N17)</f>
        <v>45473.600000000006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55" t="s">
        <v>47</v>
      </c>
      <c r="C19" s="64"/>
      <c r="D19" s="64"/>
      <c r="E19" s="64">
        <v>28.2</v>
      </c>
      <c r="F19" s="64"/>
      <c r="G19" s="64"/>
      <c r="H19" s="64"/>
      <c r="I19" s="64"/>
      <c r="J19" s="64"/>
      <c r="K19" s="64"/>
      <c r="L19" s="64"/>
      <c r="M19" s="64"/>
      <c r="N19" s="64"/>
      <c r="O19" s="4"/>
      <c r="P19" s="65"/>
    </row>
    <row r="20" spans="2:16" x14ac:dyDescent="0.3">
      <c r="B20" s="27" t="s">
        <v>2</v>
      </c>
      <c r="C20" s="28">
        <f>SUM(C17:C19)</f>
        <v>5813</v>
      </c>
      <c r="D20" s="28">
        <f t="shared" ref="D20:N20" si="1">SUM(D17:D19)</f>
        <v>5813</v>
      </c>
      <c r="E20" s="28">
        <f t="shared" si="1"/>
        <v>5252.4</v>
      </c>
      <c r="F20" s="28">
        <f t="shared" si="1"/>
        <v>6107.4000000000005</v>
      </c>
      <c r="G20" s="28">
        <f t="shared" si="1"/>
        <v>4929.8</v>
      </c>
      <c r="H20" s="28">
        <f t="shared" si="1"/>
        <v>5371.4000000000005</v>
      </c>
      <c r="I20" s="28">
        <f t="shared" si="1"/>
        <v>6401.8</v>
      </c>
      <c r="J20" s="28">
        <f t="shared" si="1"/>
        <v>5813</v>
      </c>
      <c r="K20" s="28">
        <f t="shared" si="1"/>
        <v>0</v>
      </c>
      <c r="L20" s="28">
        <f t="shared" si="1"/>
        <v>0</v>
      </c>
      <c r="M20" s="28">
        <f t="shared" si="1"/>
        <v>0</v>
      </c>
      <c r="N20" s="28">
        <f t="shared" si="1"/>
        <v>0</v>
      </c>
      <c r="O20" s="5"/>
      <c r="P20" s="42">
        <f>SUM(C20:O20)</f>
        <v>45501.8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3087.14</v>
      </c>
      <c r="D23" s="10">
        <v>3229.14</v>
      </c>
      <c r="E23" s="10">
        <v>3229.14</v>
      </c>
      <c r="F23" s="10">
        <v>3229.14</v>
      </c>
      <c r="G23" s="10">
        <v>3229.14</v>
      </c>
      <c r="H23" s="10">
        <v>3229.14</v>
      </c>
      <c r="I23" s="10">
        <v>3229.14</v>
      </c>
      <c r="J23" s="10">
        <v>3229.14</v>
      </c>
      <c r="K23" s="10"/>
      <c r="L23" s="10"/>
      <c r="M23" s="10"/>
      <c r="N23" s="10"/>
      <c r="O23" s="4"/>
      <c r="P23" s="43">
        <f>SUM(C23:N23)</f>
        <v>25691.119999999999</v>
      </c>
    </row>
    <row r="24" spans="2:16" x14ac:dyDescent="0.3">
      <c r="B24" s="9" t="s">
        <v>8</v>
      </c>
      <c r="C24" s="10">
        <f>719.66+1164.75</f>
        <v>1884.4099999999999</v>
      </c>
      <c r="D24" s="10">
        <f>750.4+1207.81</f>
        <v>1958.21</v>
      </c>
      <c r="E24" s="10">
        <f>750.4+1206.43</f>
        <v>1956.83</v>
      </c>
      <c r="F24" s="10">
        <f>750.4+1210.58</f>
        <v>1960.98</v>
      </c>
      <c r="G24" s="10">
        <f>750.4+1206.43</f>
        <v>1956.83</v>
      </c>
      <c r="H24" s="10">
        <f>750.4+1209.2</f>
        <v>1959.6</v>
      </c>
      <c r="I24" s="10">
        <f>750.4+1208.5</f>
        <v>1958.9</v>
      </c>
      <c r="J24" s="10">
        <f>750.4+1206.43</f>
        <v>1956.83</v>
      </c>
      <c r="K24" s="10"/>
      <c r="L24" s="10"/>
      <c r="M24" s="10"/>
      <c r="N24" s="10"/>
      <c r="O24" s="4"/>
      <c r="P24" s="43">
        <f>SUM(C24:N24)</f>
        <v>15592.59</v>
      </c>
    </row>
    <row r="25" spans="2:16" x14ac:dyDescent="0.3">
      <c r="B25" s="55" t="s">
        <v>40</v>
      </c>
      <c r="C25" s="10">
        <v>266</v>
      </c>
      <c r="D25" s="10">
        <v>366</v>
      </c>
      <c r="E25" s="10">
        <v>239.4</v>
      </c>
      <c r="F25" s="10">
        <v>279.3</v>
      </c>
      <c r="G25" s="10">
        <v>239.4</v>
      </c>
      <c r="H25" s="10">
        <v>252.7</v>
      </c>
      <c r="I25" s="10">
        <v>292.60000000000002</v>
      </c>
      <c r="J25" s="10">
        <v>266</v>
      </c>
      <c r="K25" s="10"/>
      <c r="L25" s="10"/>
      <c r="M25" s="10"/>
      <c r="N25" s="10"/>
      <c r="O25" s="4"/>
      <c r="P25" s="43">
        <f>SUM(C25:N25)</f>
        <v>2201.4</v>
      </c>
    </row>
    <row r="26" spans="2:16" x14ac:dyDescent="0.3">
      <c r="B26" s="55" t="s">
        <v>46</v>
      </c>
      <c r="C26" s="64"/>
      <c r="D26" s="64"/>
      <c r="E26" s="64">
        <v>28.2</v>
      </c>
      <c r="F26" s="64"/>
      <c r="G26" s="64"/>
      <c r="H26" s="64"/>
      <c r="I26" s="64"/>
      <c r="J26" s="64"/>
      <c r="K26" s="64"/>
      <c r="L26" s="64"/>
      <c r="M26" s="64"/>
      <c r="N26" s="64"/>
      <c r="O26" s="4"/>
      <c r="P26" s="43"/>
    </row>
    <row r="27" spans="2:16" x14ac:dyDescent="0.3">
      <c r="B27" s="55" t="s">
        <v>48</v>
      </c>
      <c r="C27" s="64"/>
      <c r="D27" s="64"/>
      <c r="E27" s="64"/>
      <c r="F27" s="64"/>
      <c r="G27" s="64"/>
      <c r="H27" s="64"/>
      <c r="I27" s="64"/>
      <c r="J27" s="64">
        <v>500</v>
      </c>
      <c r="K27" s="64"/>
      <c r="L27" s="64"/>
      <c r="M27" s="64"/>
      <c r="N27" s="64"/>
      <c r="O27" s="4"/>
      <c r="P27" s="43"/>
    </row>
    <row r="28" spans="2:16" x14ac:dyDescent="0.3">
      <c r="B28" s="8" t="s">
        <v>3</v>
      </c>
      <c r="C28" s="44">
        <f>SUM(C23:C26)</f>
        <v>5237.5499999999993</v>
      </c>
      <c r="D28" s="44">
        <f t="shared" ref="D28:N28" si="2">SUM(D23:D26)</f>
        <v>5553.35</v>
      </c>
      <c r="E28" s="44">
        <f t="shared" si="2"/>
        <v>5453.5699999999988</v>
      </c>
      <c r="F28" s="44">
        <f t="shared" si="2"/>
        <v>5469.42</v>
      </c>
      <c r="G28" s="44">
        <f t="shared" si="2"/>
        <v>5425.369999999999</v>
      </c>
      <c r="H28" s="44">
        <f t="shared" si="2"/>
        <v>5441.44</v>
      </c>
      <c r="I28" s="44">
        <f t="shared" si="2"/>
        <v>5480.64</v>
      </c>
      <c r="J28" s="44">
        <f>SUM(J23:J27)</f>
        <v>5951.9699999999993</v>
      </c>
      <c r="K28" s="44">
        <f t="shared" si="2"/>
        <v>0</v>
      </c>
      <c r="L28" s="44">
        <f t="shared" si="2"/>
        <v>0</v>
      </c>
      <c r="M28" s="44">
        <f t="shared" si="2"/>
        <v>0</v>
      </c>
      <c r="N28" s="44">
        <f t="shared" si="2"/>
        <v>0</v>
      </c>
      <c r="O28" s="4"/>
      <c r="P28" s="60">
        <f>SUM(C28:N28)</f>
        <v>44013.31</v>
      </c>
    </row>
    <row r="29" spans="2:16" x14ac:dyDescent="0.3">
      <c r="B29" s="4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3">
      <c r="B30" s="46" t="s">
        <v>36</v>
      </c>
      <c r="C30" s="47">
        <f t="shared" ref="C30:N30" si="3">C20-C28</f>
        <v>575.45000000000073</v>
      </c>
      <c r="D30" s="47">
        <f t="shared" si="3"/>
        <v>259.64999999999964</v>
      </c>
      <c r="E30" s="47">
        <f t="shared" si="3"/>
        <v>-201.16999999999916</v>
      </c>
      <c r="F30" s="47">
        <f t="shared" si="3"/>
        <v>637.98000000000047</v>
      </c>
      <c r="G30" s="47">
        <f t="shared" si="3"/>
        <v>-495.5699999999988</v>
      </c>
      <c r="H30" s="47">
        <f t="shared" si="3"/>
        <v>-70.039999999999054</v>
      </c>
      <c r="I30" s="47">
        <f t="shared" si="3"/>
        <v>921.15999999999985</v>
      </c>
      <c r="J30" s="47">
        <f t="shared" si="3"/>
        <v>-138.96999999999935</v>
      </c>
      <c r="K30" s="47">
        <f t="shared" si="3"/>
        <v>0</v>
      </c>
      <c r="L30" s="47">
        <f t="shared" si="3"/>
        <v>0</v>
      </c>
      <c r="M30" s="47">
        <f t="shared" si="3"/>
        <v>0</v>
      </c>
      <c r="N30" s="47">
        <f t="shared" si="3"/>
        <v>0</v>
      </c>
      <c r="P30" s="59">
        <f>SUM(C30:O30)</f>
        <v>1488.4900000000043</v>
      </c>
    </row>
    <row r="32" spans="2:16" x14ac:dyDescent="0.3">
      <c r="B32" s="62" t="s">
        <v>37</v>
      </c>
      <c r="C32" s="54">
        <v>400</v>
      </c>
      <c r="D32" s="54">
        <v>400</v>
      </c>
      <c r="E32" s="54">
        <v>360</v>
      </c>
      <c r="F32" s="54">
        <v>420</v>
      </c>
      <c r="G32" s="54">
        <v>360</v>
      </c>
      <c r="H32" s="54">
        <v>380</v>
      </c>
      <c r="I32" s="54">
        <v>440</v>
      </c>
      <c r="J32" s="54">
        <v>400</v>
      </c>
      <c r="K32" s="54"/>
      <c r="L32" s="54"/>
      <c r="M32" s="54"/>
      <c r="N32" s="54"/>
      <c r="P32" s="61">
        <f>SUM(C32:N32)</f>
        <v>3160</v>
      </c>
    </row>
    <row r="33" spans="2:16" x14ac:dyDescent="0.3">
      <c r="B33" s="62" t="s">
        <v>38</v>
      </c>
      <c r="C33" s="54">
        <v>266</v>
      </c>
      <c r="D33" s="54">
        <v>266</v>
      </c>
      <c r="E33" s="54">
        <v>239.4</v>
      </c>
      <c r="F33" s="54">
        <v>279.3</v>
      </c>
      <c r="G33" s="54">
        <v>239.4</v>
      </c>
      <c r="H33" s="54">
        <v>252.7</v>
      </c>
      <c r="I33" s="54">
        <v>292.60000000000002</v>
      </c>
      <c r="J33" s="54">
        <v>266</v>
      </c>
      <c r="K33" s="54"/>
      <c r="L33" s="54"/>
      <c r="M33" s="54"/>
      <c r="N33" s="54"/>
      <c r="P33" s="61">
        <f>SUM(C33:N33)</f>
        <v>2101.4</v>
      </c>
    </row>
    <row r="35" spans="2:16" x14ac:dyDescent="0.3">
      <c r="N35" s="54" t="s">
        <v>42</v>
      </c>
      <c r="P35" s="61">
        <f>P32*0.665</f>
        <v>2101.4</v>
      </c>
    </row>
    <row r="36" spans="2:16" x14ac:dyDescent="0.3">
      <c r="N36" s="54" t="s">
        <v>43</v>
      </c>
      <c r="P36" s="61">
        <f>P35-P33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B6" sqref="B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8" t="s">
        <v>23</v>
      </c>
      <c r="C2" s="69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320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0" t="s">
        <v>33</v>
      </c>
      <c r="C2" s="70"/>
    </row>
    <row r="3" spans="2:3" ht="16.95" customHeight="1" x14ac:dyDescent="0.3">
      <c r="B3" s="38" t="s">
        <v>34</v>
      </c>
      <c r="C3" s="39">
        <f>'2024'!P28+'2025'!P30</f>
        <v>1146.0400000000063</v>
      </c>
    </row>
    <row r="4" spans="2:3" ht="16.95" customHeight="1" x14ac:dyDescent="0.3">
      <c r="B4" s="38" t="s">
        <v>39</v>
      </c>
      <c r="C4" s="40">
        <f>'2024'!P12+'2025'!P12</f>
        <v>25.5</v>
      </c>
    </row>
    <row r="5" spans="2:3" x14ac:dyDescent="0.3">
      <c r="B5" t="s">
        <v>44</v>
      </c>
      <c r="C5">
        <f>(2.08*16)-C4</f>
        <v>7.7800000000000011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2024</vt:lpstr>
      <vt:lpstr>2025</vt:lpstr>
      <vt:lpstr>Params</vt:lpstr>
      <vt:lpstr>Synthése</vt:lpstr>
      <vt:lpstr>'2024'!AOUT</vt:lpstr>
      <vt:lpstr>'2025'!AOUT</vt:lpstr>
      <vt:lpstr>'2024'!AVRIL</vt:lpstr>
      <vt:lpstr>'2025'!AVRIL</vt:lpstr>
      <vt:lpstr>'2024'!CRA</vt:lpstr>
      <vt:lpstr>'2025'!CRA</vt:lpstr>
      <vt:lpstr>'2024'!CRA_ASTREINTE</vt:lpstr>
      <vt:lpstr>'2025'!CRA_ASTREINTE</vt:lpstr>
      <vt:lpstr>'2024'!CRA_CP</vt:lpstr>
      <vt:lpstr>'2025'!CRA_CP</vt:lpstr>
      <vt:lpstr>'2024'!CRA_PRODUCTION</vt:lpstr>
      <vt:lpstr>'2025'!CRA_PRODUCTION</vt:lpstr>
      <vt:lpstr>'2024'!CRA_SANS_SOLDE</vt:lpstr>
      <vt:lpstr>'2025'!CRA_SANS_SOLDE</vt:lpstr>
      <vt:lpstr>'2024'!DECEMBRE</vt:lpstr>
      <vt:lpstr>'2025'!DECEMBRE</vt:lpstr>
      <vt:lpstr>'2024'!ENTREES</vt:lpstr>
      <vt:lpstr>'2025'!ENTREES</vt:lpstr>
      <vt:lpstr>'2024'!ENTREES_ASTREINTE</vt:lpstr>
      <vt:lpstr>'2025'!ENTREES_ASTREINTE</vt:lpstr>
      <vt:lpstr>'2024'!ENTREES_FACTURE</vt:lpstr>
      <vt:lpstr>'2025'!ENTREES_FACTURE</vt:lpstr>
      <vt:lpstr>'2024'!FEVRIER</vt:lpstr>
      <vt:lpstr>'2025'!FEVRIER</vt:lpstr>
      <vt:lpstr>'2024'!FRAIS_KM</vt:lpstr>
      <vt:lpstr>'2025'!FRAIS_KM</vt:lpstr>
      <vt:lpstr>'2024'!JANVIER</vt:lpstr>
      <vt:lpstr>'2025'!JANVIER</vt:lpstr>
      <vt:lpstr>'2024'!JUILLET</vt:lpstr>
      <vt:lpstr>'2025'!JUILLET</vt:lpstr>
      <vt:lpstr>'2024'!JUIN</vt:lpstr>
      <vt:lpstr>'2025'!JUIN</vt:lpstr>
      <vt:lpstr>'2024'!MAI</vt:lpstr>
      <vt:lpstr>'2025'!MAI</vt:lpstr>
      <vt:lpstr>'2024'!MARS</vt:lpstr>
      <vt:lpstr>'2025'!MARS</vt:lpstr>
      <vt:lpstr>'2024'!MOIS</vt:lpstr>
      <vt:lpstr>'2025'!MOIS</vt:lpstr>
      <vt:lpstr>'2024'!NOMBRE_KM</vt:lpstr>
      <vt:lpstr>'2025'!NOMBRE_KM</vt:lpstr>
      <vt:lpstr>'2024'!NOVEMBRE</vt:lpstr>
      <vt:lpstr>'2025'!NOVEMBRE</vt:lpstr>
      <vt:lpstr>'2024'!OCTOBRE</vt:lpstr>
      <vt:lpstr>'2025'!OCTOBRE</vt:lpstr>
      <vt:lpstr>'2024'!REPAS</vt:lpstr>
      <vt:lpstr>'2025'!REPAS</vt:lpstr>
      <vt:lpstr>'2024'!REPAS_ACQUIS</vt:lpstr>
      <vt:lpstr>'2025'!REPAS_ACQUIS</vt:lpstr>
      <vt:lpstr>'2024'!REPAS_PRIS</vt:lpstr>
      <vt:lpstr>'2025'!REPAS_PRIS</vt:lpstr>
      <vt:lpstr>'2024'!REPAS_SOLDE</vt:lpstr>
      <vt:lpstr>'2025'!REPAS_SOLDE</vt:lpstr>
      <vt:lpstr>'2024'!SEPTEMBRE</vt:lpstr>
      <vt:lpstr>'2025'!SEPTEMBRE</vt:lpstr>
      <vt:lpstr>'2024'!SOLDE</vt:lpstr>
      <vt:lpstr>'2025'!SOLDE</vt:lpstr>
      <vt:lpstr>'2024'!SORTIES</vt:lpstr>
      <vt:lpstr>'2025'!SORTIES</vt:lpstr>
      <vt:lpstr>'2024'!SORTIES_CHARGES_SOCIALES_PATRONALES</vt:lpstr>
      <vt:lpstr>'2025'!SORTIES_CHARGES_SOCIALES_PATRONALES</vt:lpstr>
      <vt:lpstr>'2024'!SORTIES_FRAIS_KM</vt:lpstr>
      <vt:lpstr>'2025'!SORTIES_FRAIS_KM</vt:lpstr>
      <vt:lpstr>'2024'!SORTIES_SALAIRE_NET</vt:lpstr>
      <vt:lpstr>'2025'!SORTIES_SALAIRE_NET</vt:lpstr>
      <vt:lpstr>'2024'!TOTAL</vt:lpstr>
      <vt:lpstr>'2025'!TOTAL</vt:lpstr>
      <vt:lpstr>'2024'!TOTAL_ENTREES</vt:lpstr>
      <vt:lpstr>'2025'!TOTAL_ENTREES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2025-09-11T13:15:07Z</dcterms:modified>
</cp:coreProperties>
</file>