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8\Normal\"/>
    </mc:Choice>
  </mc:AlternateContent>
  <xr:revisionPtr revIDLastSave="0" documentId="13_ncr:1_{CC2D4331-A712-478B-83E7-77C04D2C8F45}" xr6:coauthVersionLast="47" xr6:coauthVersionMax="47" xr10:uidLastSave="{00000000-0000-0000-0000-000000000000}"/>
  <bookViews>
    <workbookView xWindow="-108" yWindow="-108" windowWidth="23256" windowHeight="14856" activeTab="2" xr2:uid="{00000000-000D-0000-FFFF-FFFF00000000}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'2025'!$B$14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'2025'!$B$17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'2023'!$B$30</definedName>
    <definedName name="FRAIS_KM" localSheetId="1">'2024'!$B$30</definedName>
    <definedName name="FRAIS_KM" localSheetId="2">'2025'!$B$31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'2023'!$B$29</definedName>
    <definedName name="NOMBRE_KM" localSheetId="1">'2024'!$B$29</definedName>
    <definedName name="NOMBRE_KM" localSheetId="2">'2025'!$B$30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'2023'!$B$27</definedName>
    <definedName name="SOLDE" localSheetId="1">'2024'!$B$27</definedName>
    <definedName name="SOLDE" localSheetId="2">'2025'!$B$28</definedName>
    <definedName name="SORTIES" localSheetId="0">'2023'!$B$21</definedName>
    <definedName name="SORTIES" localSheetId="1">'2024'!$B$21</definedName>
    <definedName name="SORTIES" localSheetId="2">'2025'!$B$21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 localSheetId="2">'2025'!$B$23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KM" localSheetId="2">'2025'!$B$24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 localSheetId="2">'2025'!$B$22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'2024'!$B$19</definedName>
    <definedName name="TOTAL_ENTREES" localSheetId="2">'2025'!$B$19</definedName>
    <definedName name="TOTAL_ENTREES">#REF!</definedName>
    <definedName name="TOTAL_SORTIES" localSheetId="0">'2023'!$B$25</definedName>
    <definedName name="TOTAL_SORTIES" localSheetId="1">'2024'!$B$25</definedName>
    <definedName name="TOTAL_SORTIES" localSheetId="2">'2025'!$B$26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J23" i="16" l="1"/>
  <c r="J17" i="16"/>
  <c r="I23" i="16" l="1"/>
  <c r="I17" i="16"/>
  <c r="H23" i="16" l="1"/>
  <c r="H17" i="16"/>
  <c r="G23" i="16" l="1"/>
  <c r="G17" i="16"/>
  <c r="F23" i="16" l="1"/>
  <c r="F17" i="16"/>
  <c r="F26" i="16" l="1"/>
  <c r="G26" i="16"/>
  <c r="H26" i="16"/>
  <c r="H28" i="16" s="1"/>
  <c r="I26" i="16"/>
  <c r="J26" i="16"/>
  <c r="K26" i="16"/>
  <c r="L26" i="16"/>
  <c r="M26" i="16"/>
  <c r="P31" i="16"/>
  <c r="P30" i="16"/>
  <c r="P33" i="16" s="1"/>
  <c r="N26" i="16"/>
  <c r="P25" i="16"/>
  <c r="P24" i="16"/>
  <c r="E23" i="16"/>
  <c r="E26" i="16" s="1"/>
  <c r="D23" i="16"/>
  <c r="D26" i="16" s="1"/>
  <c r="C23" i="16"/>
  <c r="C26" i="16" s="1"/>
  <c r="P22" i="16"/>
  <c r="N19" i="16"/>
  <c r="N28" i="16" s="1"/>
  <c r="M19" i="16"/>
  <c r="L19" i="16"/>
  <c r="K19" i="16"/>
  <c r="J19" i="16"/>
  <c r="I19" i="16"/>
  <c r="H19" i="16"/>
  <c r="G19" i="16"/>
  <c r="F19" i="16"/>
  <c r="P18" i="16"/>
  <c r="E17" i="16"/>
  <c r="D17" i="16"/>
  <c r="D19" i="16" s="1"/>
  <c r="C17" i="16"/>
  <c r="C19" i="16" s="1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30" i="15"/>
  <c r="P29" i="15"/>
  <c r="P32" i="15" s="1"/>
  <c r="P33" i="15" s="1"/>
  <c r="C25" i="15"/>
  <c r="P24" i="15"/>
  <c r="N23" i="15"/>
  <c r="N25" i="15" s="1"/>
  <c r="M23" i="15"/>
  <c r="M25" i="15" s="1"/>
  <c r="L23" i="15"/>
  <c r="L25" i="15" s="1"/>
  <c r="K23" i="15"/>
  <c r="K25" i="15" s="1"/>
  <c r="J23" i="15"/>
  <c r="J25" i="15" s="1"/>
  <c r="I23" i="15"/>
  <c r="I25" i="15" s="1"/>
  <c r="H23" i="15"/>
  <c r="H25" i="15" s="1"/>
  <c r="G23" i="15"/>
  <c r="G25" i="15" s="1"/>
  <c r="F23" i="15"/>
  <c r="F25" i="15" s="1"/>
  <c r="E23" i="15"/>
  <c r="E25" i="15" s="1"/>
  <c r="D23" i="15"/>
  <c r="D25" i="15" s="1"/>
  <c r="C23" i="15"/>
  <c r="P22" i="15"/>
  <c r="P18" i="15"/>
  <c r="N17" i="15"/>
  <c r="N19" i="15" s="1"/>
  <c r="M17" i="15"/>
  <c r="M19" i="15" s="1"/>
  <c r="L17" i="15"/>
  <c r="L19" i="15" s="1"/>
  <c r="K17" i="15"/>
  <c r="K19" i="15" s="1"/>
  <c r="K27" i="15" s="1"/>
  <c r="J17" i="15"/>
  <c r="J19" i="15" s="1"/>
  <c r="J27" i="15" s="1"/>
  <c r="I17" i="15"/>
  <c r="I19" i="15" s="1"/>
  <c r="H17" i="15"/>
  <c r="H19" i="15" s="1"/>
  <c r="G17" i="15"/>
  <c r="G19" i="15" s="1"/>
  <c r="F17" i="15"/>
  <c r="F19" i="15" s="1"/>
  <c r="E17" i="15"/>
  <c r="E19" i="15" s="1"/>
  <c r="D17" i="15"/>
  <c r="D19" i="15" s="1"/>
  <c r="C17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0" i="14"/>
  <c r="P29" i="14"/>
  <c r="P32" i="14" s="1"/>
  <c r="P33" i="14" s="1"/>
  <c r="I25" i="14"/>
  <c r="H25" i="14"/>
  <c r="G25" i="14"/>
  <c r="F25" i="14"/>
  <c r="E25" i="14"/>
  <c r="D25" i="14"/>
  <c r="C25" i="14"/>
  <c r="P24" i="14"/>
  <c r="N23" i="14"/>
  <c r="N25" i="14" s="1"/>
  <c r="M23" i="14"/>
  <c r="M25" i="14" s="1"/>
  <c r="L23" i="14"/>
  <c r="L25" i="14" s="1"/>
  <c r="K23" i="14"/>
  <c r="K25" i="14" s="1"/>
  <c r="J23" i="14"/>
  <c r="P22" i="14"/>
  <c r="N19" i="14"/>
  <c r="I19" i="14"/>
  <c r="H19" i="14"/>
  <c r="G19" i="14"/>
  <c r="F19" i="14"/>
  <c r="E19" i="14"/>
  <c r="D19" i="14"/>
  <c r="C19" i="14"/>
  <c r="P18" i="14"/>
  <c r="N17" i="14"/>
  <c r="M17" i="14"/>
  <c r="M19" i="14" s="1"/>
  <c r="L17" i="14"/>
  <c r="L19" i="14" s="1"/>
  <c r="K17" i="14"/>
  <c r="K19" i="14" s="1"/>
  <c r="J17" i="14"/>
  <c r="J19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H27" i="14" l="1"/>
  <c r="M27" i="14"/>
  <c r="C27" i="14"/>
  <c r="I27" i="15"/>
  <c r="P23" i="14"/>
  <c r="N27" i="14"/>
  <c r="P17" i="16"/>
  <c r="L28" i="16"/>
  <c r="E27" i="14"/>
  <c r="K27" i="14"/>
  <c r="L27" i="14"/>
  <c r="D27" i="14"/>
  <c r="J25" i="14"/>
  <c r="G28" i="16"/>
  <c r="J27" i="14"/>
  <c r="P19" i="14"/>
  <c r="G27" i="14"/>
  <c r="P8" i="15"/>
  <c r="P8" i="14"/>
  <c r="N27" i="15"/>
  <c r="P23" i="15"/>
  <c r="J28" i="16"/>
  <c r="P25" i="14"/>
  <c r="G27" i="15"/>
  <c r="P8" i="16"/>
  <c r="P17" i="15"/>
  <c r="F27" i="15"/>
  <c r="I27" i="14"/>
  <c r="H27" i="15"/>
  <c r="C19" i="15"/>
  <c r="C27" i="15" s="1"/>
  <c r="P25" i="15"/>
  <c r="D28" i="16"/>
  <c r="K28" i="16"/>
  <c r="P34" i="16"/>
  <c r="C4" i="13"/>
  <c r="C5" i="13" s="1"/>
  <c r="M28" i="16"/>
  <c r="F28" i="16"/>
  <c r="I28" i="16"/>
  <c r="P26" i="16"/>
  <c r="E27" i="15"/>
  <c r="M27" i="15"/>
  <c r="L27" i="15"/>
  <c r="C28" i="16"/>
  <c r="D27" i="15"/>
  <c r="F27" i="14"/>
  <c r="P17" i="14"/>
  <c r="P23" i="16"/>
  <c r="E19" i="16"/>
  <c r="E28" i="16" s="1"/>
  <c r="P27" i="14" l="1"/>
  <c r="P19" i="16"/>
  <c r="P19" i="15"/>
  <c r="P27" i="15"/>
  <c r="P28" i="16"/>
  <c r="C3" i="13" s="1"/>
</calcChain>
</file>

<file path=xl/sharedStrings.xml><?xml version="1.0" encoding="utf-8"?>
<sst xmlns="http://schemas.openxmlformats.org/spreadsheetml/2006/main" count="124" uniqueCount="47">
  <si>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</si>
  <si>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</si>
  <si>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</si>
  <si>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</si>
  <si>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</si>
  <si>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</si>
  <si>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</si>
  <si>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</si>
  <si>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</si>
  <si>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</si>
  <si>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</si>
  <si>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</si>
  <si>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</si>
  <si>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</si>
  <si>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</si>
  <si>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</si>
  <si>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</si>
  <si>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</si>
  <si>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</si>
  <si>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</si>
  <si>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</si>
  <si>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</si>
  <si>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</si>
  <si>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</si>
  <si>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</si>
  <si>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</si>
  <si>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</si>
  <si>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</si>
  <si>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</si>
  <si>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</si>
  <si>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</si>
  <si>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</si>
  <si>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</si>
  <si>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</si>
  <si>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</si>
  <si>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</si>
  <si>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</si>
  <si>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</si>
  <si>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</si>
  <si>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</si>
  <si>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</si>
  <si>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(Août 2023)</t>
  </si>
  <si>
    <t>Frais KM annuel à payer</t>
  </si>
  <si>
    <t>Régularisation Frais KM</t>
  </si>
  <si>
    <t>TJM (Décembre 2023)</t>
  </si>
  <si>
    <t>Solde Congé</t>
  </si>
  <si>
    <t>Achat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</si>
</sst>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1" fillId="9" borderId="0" xfId="0" applyFont="1" applyFill="1" applyAlignment="1">
      <alignment vertical="center"/>
    </xf>
    <xf numFmtId="4" fontId="4" fillId="4" borderId="2" xfId="0" applyNumberFormat="1" applyFont="1" applyFill="1" applyBorder="1"/>
    <xf numFmtId="2" fontId="0" fillId="0" borderId="0" xfId="0" applyNumberFormat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opLeftCell="B2" workbookViewId="0">
      <selection activeCell="J3" sqref="J3:N3"/>
    </sheetView>
  </sheetViews>
  <sheetFormatPr baseColWidth="10" defaultRowHeight="14.4" x14ac:dyDescent="0.3"/>
  <cols>
    <col min="1" max="1" width="3" customWidth="1"/>
    <col min="2" max="2" width="28" customWidth="1"/>
    <col min="14" max="14" width="18.77734375" bestFit="1" customWidth="1"/>
    <col min="15" max="15" width="4" customWidth="1"/>
    <col min="16" max="16" width="11" style="48" customWidth="1"/>
  </cols>
  <sheetData>
    <row r="1" spans="2:16" x14ac:dyDescent="0.3">
      <c r="B1" s="67" t="s">
        <v>9</v>
      </c>
    </row>
    <row r="2" spans="2:16" x14ac:dyDescent="0.3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95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>
        <v>15</v>
      </c>
      <c r="K7" s="37">
        <v>20</v>
      </c>
      <c r="L7" s="37">
        <v>22</v>
      </c>
      <c r="M7" s="37">
        <v>21</v>
      </c>
      <c r="N7" s="37">
        <v>20</v>
      </c>
      <c r="O7" s="36"/>
      <c r="P7" s="57">
        <f>SUM(C7:N7)</f>
        <v>98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-4</v>
      </c>
      <c r="K8" s="63">
        <f t="shared" si="0"/>
        <v>1</v>
      </c>
      <c r="L8" s="63">
        <f t="shared" si="0"/>
        <v>3</v>
      </c>
      <c r="M8" s="63">
        <f t="shared" si="0"/>
        <v>2</v>
      </c>
      <c r="N8" s="63">
        <f t="shared" si="0"/>
        <v>1</v>
      </c>
      <c r="O8" s="36"/>
      <c r="P8" s="57">
        <f>SUM(C8:N8)</f>
        <v>3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>
        <v>15</v>
      </c>
      <c r="K11" s="11">
        <v>20.5</v>
      </c>
      <c r="L11" s="11">
        <v>22</v>
      </c>
      <c r="M11" s="11">
        <v>21</v>
      </c>
      <c r="N11" s="11">
        <v>19.5</v>
      </c>
      <c r="P11" s="58">
        <f>SUM(C11:N11)</f>
        <v>98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>
        <v>7</v>
      </c>
      <c r="K12" s="12">
        <v>0.5</v>
      </c>
      <c r="L12" s="12"/>
      <c r="M12" s="12"/>
      <c r="N12" s="12">
        <v>0.5</v>
      </c>
      <c r="P12" s="58">
        <f>SUM(C12:N12)</f>
        <v>8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>
        <f>J11*Params!$C$5*(1-Params!$C$3)-Params!$C$4</f>
        <v>6825</v>
      </c>
      <c r="K17" s="10">
        <f>K11*Params!$C$5*(1-Params!$C$3)-Params!$C$4</f>
        <v>9355</v>
      </c>
      <c r="L17" s="10">
        <f>L11*Params!$C$5*(1-Params!$C$3)-Params!$C$4</f>
        <v>10045</v>
      </c>
      <c r="M17" s="10">
        <f>M11*Params!$C$5*(1-Params!$C$3)-Params!$C$4</f>
        <v>9585</v>
      </c>
      <c r="N17" s="10">
        <f>N11*Params!$C$6*(1-Params!$C$3)-Params!$C$4</f>
        <v>9074.4</v>
      </c>
      <c r="O17" s="4"/>
      <c r="P17" s="41">
        <f>SUM(C17:N17)</f>
        <v>44884.4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6825</v>
      </c>
      <c r="K19" s="28">
        <f t="shared" si="1"/>
        <v>9355</v>
      </c>
      <c r="L19" s="28">
        <f t="shared" si="1"/>
        <v>10045</v>
      </c>
      <c r="M19" s="28">
        <f t="shared" si="1"/>
        <v>9585</v>
      </c>
      <c r="N19" s="28">
        <f t="shared" si="1"/>
        <v>9074.4</v>
      </c>
      <c r="O19" s="5"/>
      <c r="P19" s="42">
        <f>SUM(C19:O19)</f>
        <v>44884.4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>
        <v>4959.83</v>
      </c>
      <c r="K22" s="10">
        <v>4959.83</v>
      </c>
      <c r="L22" s="10">
        <v>4959.83</v>
      </c>
      <c r="M22" s="10">
        <v>4959.83</v>
      </c>
      <c r="N22" s="10">
        <v>4959.83</v>
      </c>
      <c r="O22" s="4"/>
      <c r="P22" s="43">
        <f>SUM(C22:N22)</f>
        <v>24799.15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>
        <f>1076.59+1771.2</f>
        <v>2847.79</v>
      </c>
      <c r="K23" s="10">
        <f>1076.59+1783.32</f>
        <v>2859.91</v>
      </c>
      <c r="L23" s="10">
        <f>1076.59+1772.07</f>
        <v>2848.66</v>
      </c>
      <c r="M23" s="10">
        <f>1076.59+1771.2</f>
        <v>2847.79</v>
      </c>
      <c r="N23" s="10">
        <f>1076.59+1771.2</f>
        <v>2847.79</v>
      </c>
      <c r="O23" s="4"/>
      <c r="P23" s="43">
        <f>SUM(C23:N23)</f>
        <v>14251.940000000002</v>
      </c>
    </row>
    <row r="24" spans="2:16" x14ac:dyDescent="0.3">
      <c r="B24" s="55" t="s">
        <v>40</v>
      </c>
      <c r="C24" s="10"/>
      <c r="D24" s="10"/>
      <c r="E24" s="10"/>
      <c r="F24" s="10"/>
      <c r="G24" s="10"/>
      <c r="H24" s="10"/>
      <c r="I24" s="10"/>
      <c r="J24" s="10">
        <v>454.6</v>
      </c>
      <c r="K24" s="10">
        <v>596.44000000000005</v>
      </c>
      <c r="L24" s="10">
        <v>620.08000000000004</v>
      </c>
      <c r="M24" s="10">
        <v>596.44000000000005</v>
      </c>
      <c r="N24" s="10">
        <v>1587.8</v>
      </c>
      <c r="O24" s="4"/>
      <c r="P24" s="43">
        <f>SUM(C24:N24)</f>
        <v>3855.3599999999997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8262.2199999999993</v>
      </c>
      <c r="K25" s="44">
        <f t="shared" si="2"/>
        <v>8416.18</v>
      </c>
      <c r="L25" s="44">
        <f t="shared" si="2"/>
        <v>8428.57</v>
      </c>
      <c r="M25" s="44">
        <f t="shared" si="2"/>
        <v>8404.06</v>
      </c>
      <c r="N25" s="44">
        <f t="shared" si="2"/>
        <v>9395.42</v>
      </c>
      <c r="O25" s="4"/>
      <c r="P25" s="60">
        <f>SUM(C25:N25)</f>
        <v>42906.45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-1437.2199999999993</v>
      </c>
      <c r="K27" s="47">
        <f t="shared" si="3"/>
        <v>938.81999999999971</v>
      </c>
      <c r="L27" s="47">
        <f t="shared" si="3"/>
        <v>1616.4300000000003</v>
      </c>
      <c r="M27" s="47">
        <f t="shared" si="3"/>
        <v>1180.9400000000005</v>
      </c>
      <c r="N27" s="47">
        <f t="shared" si="3"/>
        <v>-321.02000000000044</v>
      </c>
      <c r="P27" s="59">
        <f>SUM(C27:O27)</f>
        <v>1977.9500000000007</v>
      </c>
    </row>
    <row r="29" spans="2:16" x14ac:dyDescent="0.3">
      <c r="B29" s="62" t="s">
        <v>37</v>
      </c>
      <c r="C29" s="54"/>
      <c r="D29" s="54"/>
      <c r="E29" s="54"/>
      <c r="F29" s="54"/>
      <c r="G29" s="54"/>
      <c r="H29" s="54"/>
      <c r="I29" s="54"/>
      <c r="J29" s="54">
        <v>900</v>
      </c>
      <c r="K29" s="54">
        <v>1260</v>
      </c>
      <c r="L29" s="54">
        <v>1320</v>
      </c>
      <c r="M29" s="54">
        <v>1260</v>
      </c>
      <c r="N29" s="54">
        <v>1200</v>
      </c>
      <c r="P29" s="61">
        <f>SUM(C29:N29)</f>
        <v>5940</v>
      </c>
    </row>
    <row r="30" spans="2:16" x14ac:dyDescent="0.3">
      <c r="B30" s="62" t="s">
        <v>38</v>
      </c>
      <c r="C30" s="54"/>
      <c r="D30" s="54"/>
      <c r="E30" s="54"/>
      <c r="F30" s="54"/>
      <c r="G30" s="54"/>
      <c r="H30" s="54"/>
      <c r="I30" s="54"/>
      <c r="J30" s="54">
        <v>454.6</v>
      </c>
      <c r="K30" s="54">
        <v>596.44000000000005</v>
      </c>
      <c r="L30" s="54">
        <v>620.08000000000004</v>
      </c>
      <c r="M30" s="54">
        <v>596.44000000000005</v>
      </c>
      <c r="N30" s="54">
        <v>472.8</v>
      </c>
      <c r="P30" s="61">
        <f>SUM(C30:N30)</f>
        <v>2740.36</v>
      </c>
    </row>
    <row r="32" spans="2:16" x14ac:dyDescent="0.3">
      <c r="N32" s="54" t="s">
        <v>42</v>
      </c>
      <c r="P32" s="61">
        <f>(P29*0.394) + 1515</f>
        <v>3855.36</v>
      </c>
    </row>
    <row r="33" spans="14:16" x14ac:dyDescent="0.3">
      <c r="N33" s="54" t="s">
        <v>43</v>
      </c>
      <c r="P33" s="61">
        <f>P32-P30</f>
        <v>1115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3"/>
  <sheetViews>
    <sheetView topLeftCell="B23" workbookViewId="0">
      <selection activeCell="M27" sqref="M27:N27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67" t="s">
        <v>9</v>
      </c>
    </row>
    <row r="2" spans="2:16" x14ac:dyDescent="0.3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7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216</v>
      </c>
    </row>
    <row r="7" spans="2:16" x14ac:dyDescent="0.3">
      <c r="B7" s="9" t="s">
        <v>21</v>
      </c>
      <c r="C7" s="37">
        <v>18</v>
      </c>
      <c r="D7" s="37">
        <v>20</v>
      </c>
      <c r="E7" s="37">
        <v>21</v>
      </c>
      <c r="F7" s="37">
        <v>20</v>
      </c>
      <c r="G7" s="37">
        <v>18</v>
      </c>
      <c r="H7" s="37">
        <v>20</v>
      </c>
      <c r="I7" s="37">
        <v>4</v>
      </c>
      <c r="J7" s="37">
        <v>18</v>
      </c>
      <c r="K7" s="37">
        <v>21</v>
      </c>
      <c r="L7" s="37">
        <v>23</v>
      </c>
      <c r="M7" s="37">
        <v>19</v>
      </c>
      <c r="N7" s="37">
        <v>16</v>
      </c>
      <c r="O7" s="36"/>
      <c r="P7" s="57">
        <f>SUM(C7:N7)</f>
        <v>218</v>
      </c>
    </row>
    <row r="8" spans="2:16" x14ac:dyDescent="0.3">
      <c r="B8" s="18" t="s">
        <v>22</v>
      </c>
      <c r="C8" s="63">
        <f t="shared" ref="C8:N8" si="0">C7-C6</f>
        <v>-1</v>
      </c>
      <c r="D8" s="63">
        <f t="shared" si="0"/>
        <v>1</v>
      </c>
      <c r="E8" s="63">
        <f t="shared" si="0"/>
        <v>2</v>
      </c>
      <c r="F8" s="63">
        <f t="shared" si="0"/>
        <v>1</v>
      </c>
      <c r="G8" s="63">
        <f t="shared" si="0"/>
        <v>-1</v>
      </c>
      <c r="H8" s="63">
        <f t="shared" si="0"/>
        <v>1</v>
      </c>
      <c r="I8" s="63">
        <f t="shared" si="0"/>
        <v>-3</v>
      </c>
      <c r="J8" s="63">
        <f t="shared" si="0"/>
        <v>-1</v>
      </c>
      <c r="K8" s="63">
        <f t="shared" si="0"/>
        <v>2</v>
      </c>
      <c r="L8" s="63">
        <f t="shared" si="0"/>
        <v>4</v>
      </c>
      <c r="M8" s="63">
        <f t="shared" si="0"/>
        <v>0</v>
      </c>
      <c r="N8" s="63">
        <f t="shared" si="0"/>
        <v>-3</v>
      </c>
      <c r="O8" s="36"/>
      <c r="P8" s="57">
        <f>SUM(C8:N8)</f>
        <v>2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18</v>
      </c>
      <c r="D11" s="11">
        <v>20</v>
      </c>
      <c r="E11" s="11">
        <v>21</v>
      </c>
      <c r="F11" s="11">
        <v>20</v>
      </c>
      <c r="G11" s="11">
        <v>18</v>
      </c>
      <c r="H11" s="11">
        <v>20</v>
      </c>
      <c r="I11" s="11">
        <v>4</v>
      </c>
      <c r="J11" s="11">
        <v>18.5</v>
      </c>
      <c r="K11" s="11">
        <v>21</v>
      </c>
      <c r="L11" s="11">
        <v>23</v>
      </c>
      <c r="M11" s="11">
        <v>19</v>
      </c>
      <c r="N11" s="11">
        <v>16</v>
      </c>
      <c r="P11" s="58">
        <f>SUM(C11:N11)</f>
        <v>218.5</v>
      </c>
    </row>
    <row r="12" spans="2:16" x14ac:dyDescent="0.3">
      <c r="B12" s="9" t="s">
        <v>16</v>
      </c>
      <c r="C12" s="12">
        <v>4</v>
      </c>
      <c r="D12" s="12">
        <v>1</v>
      </c>
      <c r="E12" s="12"/>
      <c r="F12" s="12">
        <v>1</v>
      </c>
      <c r="G12" s="12">
        <v>1</v>
      </c>
      <c r="H12" s="12"/>
      <c r="I12" s="12">
        <v>8</v>
      </c>
      <c r="J12" s="12">
        <v>2.5</v>
      </c>
      <c r="K12" s="12"/>
      <c r="L12" s="12"/>
      <c r="M12" s="12"/>
      <c r="N12" s="12">
        <v>5</v>
      </c>
      <c r="P12" s="58">
        <f>SUM(C12:N12)</f>
        <v>22.5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>
        <v>11</v>
      </c>
      <c r="J13" s="12"/>
      <c r="K13" s="12"/>
      <c r="L13" s="12"/>
      <c r="M13" s="12"/>
      <c r="N13" s="12"/>
      <c r="P13" s="58">
        <f>SUM(C13:N13)</f>
        <v>11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8370.6</v>
      </c>
      <c r="D17" s="10">
        <f>D11*Params!$C$6*(1-Params!$C$3)-Params!$C$4</f>
        <v>9309</v>
      </c>
      <c r="E17" s="10">
        <f>E11*Params!$C$6*(1-Params!$C$3)-Params!$C$4</f>
        <v>9778.2000000000007</v>
      </c>
      <c r="F17" s="10">
        <f>F11*Params!$C$6*(1-Params!$C$3)-Params!$C$4</f>
        <v>9309</v>
      </c>
      <c r="G17" s="10">
        <f>G11*Params!$C$6*(1-Params!$C$3)-Params!$C$4</f>
        <v>8370.6</v>
      </c>
      <c r="H17" s="10">
        <f>H11*Params!$C$6*(1-Params!$C$3)-Params!$C$4</f>
        <v>9309</v>
      </c>
      <c r="I17" s="10">
        <f>I11*Params!$C$6*(1-Params!$C$3)-Params!$C$4</f>
        <v>1801.8000000000002</v>
      </c>
      <c r="J17" s="10">
        <f>J11*Params!$C$6*(1-Params!$C$3)-Params!$C$4</f>
        <v>8605.2000000000007</v>
      </c>
      <c r="K17" s="10">
        <f>K11*Params!$C$6*(1-Params!$C$3)-Params!$C$4</f>
        <v>9778.2000000000007</v>
      </c>
      <c r="L17" s="10">
        <f>L11*Params!$C$6*(1-Params!$C$3)-Params!$C$4</f>
        <v>10716.6</v>
      </c>
      <c r="M17" s="10">
        <f>M11*Params!$C$6*(1-Params!$C$3)-Params!$C$4</f>
        <v>8839.8000000000011</v>
      </c>
      <c r="N17" s="10">
        <f>N11*Params!$C$6*(1-Params!$C$3)-Params!$C$4</f>
        <v>7432.2000000000007</v>
      </c>
      <c r="O17" s="4"/>
      <c r="P17" s="41">
        <f>SUM(C17:N17)</f>
        <v>101620.20000000001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8370.6</v>
      </c>
      <c r="D19" s="28">
        <f t="shared" si="1"/>
        <v>9309</v>
      </c>
      <c r="E19" s="28">
        <f t="shared" si="1"/>
        <v>9778.2000000000007</v>
      </c>
      <c r="F19" s="28">
        <f t="shared" si="1"/>
        <v>9309</v>
      </c>
      <c r="G19" s="28">
        <f t="shared" si="1"/>
        <v>8370.6</v>
      </c>
      <c r="H19" s="28">
        <f t="shared" si="1"/>
        <v>9309</v>
      </c>
      <c r="I19" s="28">
        <f t="shared" si="1"/>
        <v>1801.8000000000002</v>
      </c>
      <c r="J19" s="28">
        <f t="shared" si="1"/>
        <v>8605.2000000000007</v>
      </c>
      <c r="K19" s="28">
        <f t="shared" si="1"/>
        <v>9778.2000000000007</v>
      </c>
      <c r="L19" s="28">
        <f t="shared" si="1"/>
        <v>10716.6</v>
      </c>
      <c r="M19" s="28">
        <f t="shared" si="1"/>
        <v>8839.8000000000011</v>
      </c>
      <c r="N19" s="28">
        <f t="shared" si="1"/>
        <v>7432.2000000000007</v>
      </c>
      <c r="O19" s="5"/>
      <c r="P19" s="42">
        <f>SUM(C19:O19)</f>
        <v>101620.20000000001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4950.6400000000003</v>
      </c>
      <c r="D22" s="10">
        <v>4950.6400000000003</v>
      </c>
      <c r="E22" s="10">
        <v>4950.6400000000003</v>
      </c>
      <c r="F22" s="10">
        <v>4950.6400000000003</v>
      </c>
      <c r="G22" s="10">
        <v>4950.6400000000003</v>
      </c>
      <c r="H22" s="10">
        <v>4950.6400000000003</v>
      </c>
      <c r="I22" s="10">
        <v>2679.95</v>
      </c>
      <c r="J22" s="10">
        <v>5097.4399999999996</v>
      </c>
      <c r="K22" s="10">
        <v>4950.6400000000003</v>
      </c>
      <c r="L22" s="10">
        <v>4950.6400000000003</v>
      </c>
      <c r="M22" s="10">
        <v>4950.6400000000003</v>
      </c>
      <c r="N22" s="10">
        <v>4950.6400000000003</v>
      </c>
      <c r="O22" s="4"/>
      <c r="P22" s="43">
        <f>SUM(C22:N22)</f>
        <v>57283.79</v>
      </c>
    </row>
    <row r="23" spans="2:16" x14ac:dyDescent="0.3">
      <c r="B23" s="9" t="s">
        <v>8</v>
      </c>
      <c r="C23" s="10">
        <f>1090.34+1788.49</f>
        <v>2878.83</v>
      </c>
      <c r="D23" s="10">
        <f>1090.34+1794.53</f>
        <v>2884.87</v>
      </c>
      <c r="E23" s="10">
        <f>1090.34+1789.34</f>
        <v>2879.68</v>
      </c>
      <c r="F23" s="10">
        <f>1090.34+1787.62</f>
        <v>2877.96</v>
      </c>
      <c r="G23" s="10">
        <f>1090.34+1811.99</f>
        <v>2902.33</v>
      </c>
      <c r="H23" s="10">
        <f>1090.34+1811.99</f>
        <v>2902.33</v>
      </c>
      <c r="I23" s="10">
        <f>621.24+1011.75</f>
        <v>1632.99</v>
      </c>
      <c r="J23" s="10">
        <f>1123.26+1879.71</f>
        <v>3002.9700000000003</v>
      </c>
      <c r="K23" s="10">
        <f>1090.34+1817.11</f>
        <v>2907.45</v>
      </c>
      <c r="L23" s="10">
        <f>1090.34+1812.79</f>
        <v>2903.13</v>
      </c>
      <c r="M23" s="10">
        <f>1090.34+1812.79</f>
        <v>2903.13</v>
      </c>
      <c r="N23" s="10">
        <f>1090.34+1812.79</f>
        <v>2903.13</v>
      </c>
      <c r="O23" s="4"/>
      <c r="P23" s="43">
        <f>SUM(C23:N23)</f>
        <v>33578.800000000003</v>
      </c>
    </row>
    <row r="24" spans="2:16" x14ac:dyDescent="0.3">
      <c r="B24" s="55" t="s">
        <v>40</v>
      </c>
      <c r="C24" s="10">
        <v>525.52</v>
      </c>
      <c r="D24" s="10">
        <v>572.79999999999995</v>
      </c>
      <c r="E24" s="10">
        <v>596.44000000000005</v>
      </c>
      <c r="F24" s="10">
        <v>572.79999999999995</v>
      </c>
      <c r="G24" s="10">
        <v>525.52</v>
      </c>
      <c r="H24" s="10">
        <v>572.79999999999995</v>
      </c>
      <c r="I24" s="10">
        <v>194.56</v>
      </c>
      <c r="J24" s="10">
        <v>549.16</v>
      </c>
      <c r="K24" s="10">
        <v>596.44000000000005</v>
      </c>
      <c r="L24" s="10">
        <v>643.72</v>
      </c>
      <c r="M24" s="10">
        <v>549.16</v>
      </c>
      <c r="N24" s="10">
        <v>793.24</v>
      </c>
      <c r="O24" s="4"/>
      <c r="P24" s="43">
        <f>SUM(C24:N24)</f>
        <v>6692.1600000000008</v>
      </c>
    </row>
    <row r="25" spans="2:16" x14ac:dyDescent="0.3">
      <c r="B25" s="8" t="s">
        <v>3</v>
      </c>
      <c r="C25" s="44">
        <f t="shared" ref="C25:N25" si="2">SUM(C22:C24)</f>
        <v>8354.99</v>
      </c>
      <c r="D25" s="44">
        <f t="shared" si="2"/>
        <v>8408.31</v>
      </c>
      <c r="E25" s="44">
        <f t="shared" si="2"/>
        <v>8426.76</v>
      </c>
      <c r="F25" s="44">
        <f t="shared" si="2"/>
        <v>8401.4</v>
      </c>
      <c r="G25" s="44">
        <f t="shared" si="2"/>
        <v>8378.49</v>
      </c>
      <c r="H25" s="44">
        <f t="shared" si="2"/>
        <v>8425.77</v>
      </c>
      <c r="I25" s="44">
        <f t="shared" si="2"/>
        <v>4507.5</v>
      </c>
      <c r="J25" s="44">
        <f t="shared" si="2"/>
        <v>8649.57</v>
      </c>
      <c r="K25" s="44">
        <f t="shared" si="2"/>
        <v>8454.5300000000007</v>
      </c>
      <c r="L25" s="44">
        <f t="shared" si="2"/>
        <v>8497.49</v>
      </c>
      <c r="M25" s="44">
        <f t="shared" si="2"/>
        <v>8402.93</v>
      </c>
      <c r="N25" s="44">
        <f t="shared" si="2"/>
        <v>8647.01</v>
      </c>
      <c r="O25" s="4"/>
      <c r="P25" s="60">
        <f>SUM(C25:N25)</f>
        <v>97554.750000000015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15.610000000000582</v>
      </c>
      <c r="D27" s="47">
        <f t="shared" si="3"/>
        <v>900.69000000000051</v>
      </c>
      <c r="E27" s="47">
        <f t="shared" si="3"/>
        <v>1351.4400000000005</v>
      </c>
      <c r="F27" s="47">
        <f t="shared" si="3"/>
        <v>907.60000000000036</v>
      </c>
      <c r="G27" s="47">
        <f t="shared" si="3"/>
        <v>-7.8899999999994179</v>
      </c>
      <c r="H27" s="47">
        <f t="shared" si="3"/>
        <v>883.22999999999956</v>
      </c>
      <c r="I27" s="47">
        <f t="shared" si="3"/>
        <v>-2705.7</v>
      </c>
      <c r="J27" s="47">
        <f t="shared" si="3"/>
        <v>-44.369999999998981</v>
      </c>
      <c r="K27" s="47">
        <f t="shared" si="3"/>
        <v>1323.67</v>
      </c>
      <c r="L27" s="47">
        <f t="shared" si="3"/>
        <v>2219.1100000000006</v>
      </c>
      <c r="M27" s="47">
        <f t="shared" si="3"/>
        <v>436.8700000000008</v>
      </c>
      <c r="N27" s="47">
        <f t="shared" si="3"/>
        <v>-1214.8099999999995</v>
      </c>
      <c r="P27" s="59">
        <f>SUM(C27:O27)</f>
        <v>4065.4500000000053</v>
      </c>
    </row>
    <row r="29" spans="2:16" x14ac:dyDescent="0.3">
      <c r="B29" s="62" t="s">
        <v>37</v>
      </c>
      <c r="C29" s="54">
        <v>1080</v>
      </c>
      <c r="D29" s="54">
        <v>1200</v>
      </c>
      <c r="E29" s="54">
        <v>1260</v>
      </c>
      <c r="F29" s="54">
        <v>1200</v>
      </c>
      <c r="G29" s="54">
        <v>1080</v>
      </c>
      <c r="H29" s="54">
        <v>1200</v>
      </c>
      <c r="I29" s="54">
        <v>240</v>
      </c>
      <c r="J29" s="54">
        <v>1140</v>
      </c>
      <c r="K29" s="54">
        <v>1260</v>
      </c>
      <c r="L29" s="54">
        <v>1380</v>
      </c>
      <c r="M29" s="54">
        <v>1140</v>
      </c>
      <c r="N29" s="54">
        <v>960</v>
      </c>
      <c r="P29" s="61">
        <f>SUM(C29:N29)</f>
        <v>13140</v>
      </c>
    </row>
    <row r="30" spans="2:16" x14ac:dyDescent="0.3">
      <c r="B30" s="62" t="s">
        <v>38</v>
      </c>
      <c r="C30" s="54">
        <v>525.52</v>
      </c>
      <c r="D30" s="54">
        <v>572.79999999999995</v>
      </c>
      <c r="E30" s="54">
        <v>596.44000000000005</v>
      </c>
      <c r="F30" s="54">
        <v>572.79999999999995</v>
      </c>
      <c r="G30" s="54">
        <v>525.52</v>
      </c>
      <c r="H30" s="54">
        <v>572.79999999999995</v>
      </c>
      <c r="I30" s="54">
        <v>194.56</v>
      </c>
      <c r="J30" s="54">
        <v>549.16</v>
      </c>
      <c r="K30" s="54">
        <v>596.44000000000005</v>
      </c>
      <c r="L30" s="54">
        <v>643.72</v>
      </c>
      <c r="M30" s="54">
        <v>549.16</v>
      </c>
      <c r="N30" s="54">
        <v>793.24</v>
      </c>
      <c r="P30" s="61">
        <f>SUM(C30:N30)</f>
        <v>6692.1600000000008</v>
      </c>
    </row>
    <row r="32" spans="2:16" x14ac:dyDescent="0.3">
      <c r="N32" s="54" t="s">
        <v>42</v>
      </c>
      <c r="P32" s="61">
        <f>(P29*0.394) + 1515</f>
        <v>6692.16</v>
      </c>
    </row>
    <row r="33" spans="14:16" x14ac:dyDescent="0.3">
      <c r="N33" s="54" t="s">
        <v>43</v>
      </c>
      <c r="P33" s="61">
        <f>P32-P30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4"/>
  <sheetViews>
    <sheetView tabSelected="1" workbookViewId="0">
      <selection activeCell="J31" sqref="J31"/>
    </sheetView>
  </sheetViews>
  <sheetFormatPr baseColWidth="10" defaultRowHeight="14.4" x14ac:dyDescent="0.3"/>
  <cols>
    <col min="1" max="1" width="3" customWidth="1"/>
    <col min="2" max="2" width="28" customWidth="1"/>
    <col min="14" max="14" width="18.5546875" bestFit="1" customWidth="1"/>
    <col min="15" max="15" width="4" customWidth="1"/>
    <col min="16" max="16" width="11" style="48" customWidth="1"/>
  </cols>
  <sheetData>
    <row r="1" spans="2:16" x14ac:dyDescent="0.3">
      <c r="B1" s="67" t="s">
        <v>9</v>
      </c>
    </row>
    <row r="2" spans="2:16" x14ac:dyDescent="0.3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/>
      <c r="L6" s="37"/>
      <c r="M6" s="37"/>
      <c r="N6" s="37"/>
      <c r="O6" s="36"/>
      <c r="P6" s="57">
        <f>SUM(C6:N6)</f>
        <v>152</v>
      </c>
    </row>
    <row r="7" spans="2:16" x14ac:dyDescent="0.3">
      <c r="B7" s="9" t="s">
        <v>21</v>
      </c>
      <c r="C7" s="37">
        <v>22</v>
      </c>
      <c r="D7" s="37">
        <v>19.5</v>
      </c>
      <c r="E7" s="37">
        <v>20</v>
      </c>
      <c r="F7" s="37">
        <v>17</v>
      </c>
      <c r="G7" s="37">
        <v>19</v>
      </c>
      <c r="H7" s="37">
        <v>20</v>
      </c>
      <c r="I7" s="37">
        <v>17</v>
      </c>
      <c r="J7" s="37">
        <v>19</v>
      </c>
      <c r="K7" s="37"/>
      <c r="L7" s="37"/>
      <c r="M7" s="37"/>
      <c r="N7" s="37"/>
      <c r="O7" s="36"/>
      <c r="P7" s="57">
        <f>SUM(C7:N7)</f>
        <v>153.5</v>
      </c>
    </row>
    <row r="8" spans="2:16" x14ac:dyDescent="0.3">
      <c r="B8" s="18" t="s">
        <v>22</v>
      </c>
      <c r="C8" s="63">
        <f t="shared" ref="C8:N8" si="0">C7-C6</f>
        <v>3</v>
      </c>
      <c r="D8" s="63">
        <f t="shared" si="0"/>
        <v>0.5</v>
      </c>
      <c r="E8" s="63">
        <f t="shared" si="0"/>
        <v>1</v>
      </c>
      <c r="F8" s="63">
        <f t="shared" si="0"/>
        <v>-2</v>
      </c>
      <c r="G8" s="63">
        <f t="shared" si="0"/>
        <v>0</v>
      </c>
      <c r="H8" s="63">
        <f t="shared" si="0"/>
        <v>1</v>
      </c>
      <c r="I8" s="63">
        <f t="shared" si="0"/>
        <v>-2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1.5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19.5</v>
      </c>
      <c r="E11" s="11">
        <v>20</v>
      </c>
      <c r="F11" s="11">
        <v>17</v>
      </c>
      <c r="G11" s="11">
        <v>19</v>
      </c>
      <c r="H11" s="11">
        <v>20</v>
      </c>
      <c r="I11" s="11">
        <v>17</v>
      </c>
      <c r="J11" s="11">
        <v>19</v>
      </c>
      <c r="K11" s="11"/>
      <c r="L11" s="11"/>
      <c r="M11" s="11"/>
      <c r="N11" s="11"/>
      <c r="P11" s="58">
        <f>SUM(C11:N11)</f>
        <v>153.5</v>
      </c>
    </row>
    <row r="12" spans="2:16" x14ac:dyDescent="0.3">
      <c r="B12" s="9" t="s">
        <v>16</v>
      </c>
      <c r="C12" s="12"/>
      <c r="D12" s="12"/>
      <c r="E12" s="12">
        <v>1</v>
      </c>
      <c r="F12" s="12">
        <v>4</v>
      </c>
      <c r="G12" s="12"/>
      <c r="H12" s="12"/>
      <c r="I12" s="12">
        <v>5</v>
      </c>
      <c r="J12" s="12">
        <v>1</v>
      </c>
      <c r="K12" s="12"/>
      <c r="L12" s="12"/>
      <c r="M12" s="12"/>
      <c r="N12" s="12"/>
      <c r="P12" s="58">
        <f>SUM(C12:N12)</f>
        <v>11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10247.4</v>
      </c>
      <c r="D17" s="10">
        <f>D11*Params!$C$6*(1-Params!$C$3)-Params!$C$4</f>
        <v>9074.4</v>
      </c>
      <c r="E17" s="10">
        <f>E11*Params!$C$6*(1-Params!$C$3)-Params!$C$4</f>
        <v>9309</v>
      </c>
      <c r="F17" s="10">
        <f>F11*Params!$C$6*(1-Params!$C$3)-Params!$C$4</f>
        <v>7901.4000000000005</v>
      </c>
      <c r="G17" s="10">
        <f>G11*Params!$C$6*(1-Params!$C$3)-Params!$C$4</f>
        <v>8839.8000000000011</v>
      </c>
      <c r="H17" s="10">
        <f>H11*Params!$C$6*(1-Params!$C$3)-Params!$C$4</f>
        <v>9309</v>
      </c>
      <c r="I17" s="10">
        <f>I11*Params!$C$6*(1-Params!$C$3)-Params!$C$4</f>
        <v>7901.4000000000005</v>
      </c>
      <c r="J17" s="10">
        <f>J11*Params!$C$6*(1-Params!$C$3)-Params!$C$4</f>
        <v>8839.8000000000011</v>
      </c>
      <c r="K17" s="10"/>
      <c r="L17" s="10"/>
      <c r="M17" s="10"/>
      <c r="N17" s="10"/>
      <c r="O17" s="4"/>
      <c r="P17" s="41">
        <f>SUM(C17:N17)</f>
        <v>71422.2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10247.4</v>
      </c>
      <c r="D19" s="28">
        <f t="shared" si="1"/>
        <v>9074.4</v>
      </c>
      <c r="E19" s="28">
        <f t="shared" si="1"/>
        <v>9309</v>
      </c>
      <c r="F19" s="28">
        <f t="shared" si="1"/>
        <v>7901.4000000000005</v>
      </c>
      <c r="G19" s="28">
        <f t="shared" si="1"/>
        <v>8839.8000000000011</v>
      </c>
      <c r="H19" s="28">
        <f t="shared" si="1"/>
        <v>9309</v>
      </c>
      <c r="I19" s="28">
        <f t="shared" si="1"/>
        <v>7901.4000000000005</v>
      </c>
      <c r="J19" s="28">
        <f t="shared" si="1"/>
        <v>8839.8000000000011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71422.2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4949.22</v>
      </c>
      <c r="D22" s="10">
        <v>4949.22</v>
      </c>
      <c r="E22" s="10">
        <v>4949.22</v>
      </c>
      <c r="F22" s="10">
        <v>4949.22</v>
      </c>
      <c r="G22" s="10">
        <v>4949.22</v>
      </c>
      <c r="H22" s="10">
        <v>4949.22</v>
      </c>
      <c r="I22" s="10">
        <v>4949.22</v>
      </c>
      <c r="J22" s="10">
        <v>4949.22</v>
      </c>
      <c r="K22" s="10"/>
      <c r="L22" s="10"/>
      <c r="M22" s="10"/>
      <c r="N22" s="10"/>
      <c r="O22" s="4"/>
      <c r="P22" s="43">
        <f>SUM(C22:N22)</f>
        <v>39593.760000000002</v>
      </c>
    </row>
    <row r="23" spans="2:16" x14ac:dyDescent="0.3">
      <c r="B23" s="9" t="s">
        <v>8</v>
      </c>
      <c r="C23" s="10">
        <f>1096.32+1827.56</f>
        <v>2923.88</v>
      </c>
      <c r="D23" s="10">
        <f>1096.32+1818.91</f>
        <v>2915.23</v>
      </c>
      <c r="E23" s="10">
        <f>1096.32+1819.78</f>
        <v>2916.1</v>
      </c>
      <c r="F23" s="10">
        <f>1096.32+3029.74</f>
        <v>4126.0599999999995</v>
      </c>
      <c r="G23" s="10">
        <f>1096.32+2128.1</f>
        <v>3224.42</v>
      </c>
      <c r="H23" s="10">
        <f>1096.32+2121.19</f>
        <v>3217.51</v>
      </c>
      <c r="I23" s="10">
        <f>1096.32+2121.19</f>
        <v>3217.51</v>
      </c>
      <c r="J23" s="10">
        <f>1096.32+2129.84</f>
        <v>3226.16</v>
      </c>
      <c r="K23" s="10"/>
      <c r="L23" s="10"/>
      <c r="M23" s="10"/>
      <c r="N23" s="10"/>
      <c r="O23" s="4"/>
      <c r="P23" s="43">
        <f>SUM(C23:N23)</f>
        <v>25766.87</v>
      </c>
    </row>
    <row r="24" spans="2:16" x14ac:dyDescent="0.3">
      <c r="B24" s="55" t="s">
        <v>40</v>
      </c>
      <c r="C24" s="10">
        <v>620.08000000000004</v>
      </c>
      <c r="D24" s="10">
        <v>572.79999999999995</v>
      </c>
      <c r="E24" s="10">
        <v>572.79999999999995</v>
      </c>
      <c r="F24" s="10">
        <v>501.88</v>
      </c>
      <c r="G24" s="10">
        <v>549.16</v>
      </c>
      <c r="H24" s="10">
        <v>572.79999999999995</v>
      </c>
      <c r="I24" s="10">
        <v>501.88</v>
      </c>
      <c r="J24" s="10">
        <v>549.16</v>
      </c>
      <c r="K24" s="10"/>
      <c r="L24" s="10"/>
      <c r="M24" s="10"/>
      <c r="N24" s="10"/>
      <c r="O24" s="4"/>
      <c r="P24" s="43">
        <f>SUM(C24:N24)</f>
        <v>4440.5599999999995</v>
      </c>
    </row>
    <row r="25" spans="2:16" x14ac:dyDescent="0.3">
      <c r="B25" s="55" t="s">
        <v>46</v>
      </c>
      <c r="C25" s="65"/>
      <c r="D25" s="65"/>
      <c r="E25" s="65">
        <v>150</v>
      </c>
      <c r="F25" s="65"/>
      <c r="G25" s="65"/>
      <c r="H25" s="65"/>
      <c r="I25" s="65"/>
      <c r="J25" s="65"/>
      <c r="K25" s="65"/>
      <c r="L25" s="65"/>
      <c r="M25" s="65"/>
      <c r="N25" s="65"/>
      <c r="O25" s="4"/>
      <c r="P25" s="43">
        <f>SUM(C25:N25)</f>
        <v>150</v>
      </c>
    </row>
    <row r="26" spans="2:16" x14ac:dyDescent="0.3">
      <c r="B26" s="8" t="s">
        <v>3</v>
      </c>
      <c r="C26" s="44">
        <f>SUM(C22:C24)</f>
        <v>8493.18</v>
      </c>
      <c r="D26" s="44">
        <f>SUM(D22:D24)</f>
        <v>8437.25</v>
      </c>
      <c r="E26" s="44">
        <f>SUM(E22:E25)</f>
        <v>8588.119999999999</v>
      </c>
      <c r="F26" s="44">
        <f t="shared" ref="F26:M26" si="2">SUM(F22:F25)</f>
        <v>9577.159999999998</v>
      </c>
      <c r="G26" s="44">
        <f t="shared" si="2"/>
        <v>8722.8000000000011</v>
      </c>
      <c r="H26" s="44">
        <f t="shared" si="2"/>
        <v>8739.5300000000007</v>
      </c>
      <c r="I26" s="44">
        <f t="shared" si="2"/>
        <v>8668.61</v>
      </c>
      <c r="J26" s="44">
        <f t="shared" si="2"/>
        <v>8724.5400000000009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ref="N26" si="3">SUM(N22:N25)</f>
        <v>0</v>
      </c>
      <c r="O26" s="4"/>
      <c r="P26" s="60">
        <f>SUM(C26:N26)</f>
        <v>69951.19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4">C19-C26</f>
        <v>1754.2199999999993</v>
      </c>
      <c r="D28" s="47">
        <f t="shared" si="4"/>
        <v>637.14999999999964</v>
      </c>
      <c r="E28" s="47">
        <f t="shared" si="4"/>
        <v>720.88000000000102</v>
      </c>
      <c r="F28" s="47">
        <f t="shared" si="4"/>
        <v>-1675.7599999999975</v>
      </c>
      <c r="G28" s="47">
        <f t="shared" si="4"/>
        <v>117</v>
      </c>
      <c r="H28" s="47">
        <f t="shared" si="4"/>
        <v>569.46999999999935</v>
      </c>
      <c r="I28" s="47">
        <f t="shared" si="4"/>
        <v>-767.21</v>
      </c>
      <c r="J28" s="47">
        <f t="shared" si="4"/>
        <v>115.26000000000022</v>
      </c>
      <c r="K28" s="47">
        <f t="shared" si="4"/>
        <v>0</v>
      </c>
      <c r="L28" s="47">
        <f t="shared" si="4"/>
        <v>0</v>
      </c>
      <c r="M28" s="47">
        <f t="shared" si="4"/>
        <v>0</v>
      </c>
      <c r="N28" s="47">
        <f t="shared" si="4"/>
        <v>0</v>
      </c>
      <c r="P28" s="59">
        <f>SUM(C28:O28)</f>
        <v>1471.010000000002</v>
      </c>
    </row>
    <row r="30" spans="2:16" x14ac:dyDescent="0.3">
      <c r="B30" s="62" t="s">
        <v>37</v>
      </c>
      <c r="C30" s="54">
        <v>1320</v>
      </c>
      <c r="D30" s="54">
        <v>1200</v>
      </c>
      <c r="E30" s="54">
        <v>1200</v>
      </c>
      <c r="F30" s="54">
        <v>1020</v>
      </c>
      <c r="G30" s="54">
        <v>1140</v>
      </c>
      <c r="H30" s="54">
        <v>1200</v>
      </c>
      <c r="I30" s="54">
        <v>1020</v>
      </c>
      <c r="J30" s="54">
        <v>1140</v>
      </c>
      <c r="K30" s="54"/>
      <c r="L30" s="54"/>
      <c r="M30" s="54"/>
      <c r="N30" s="54"/>
      <c r="P30" s="61">
        <f>SUM(C30:N30)</f>
        <v>9240</v>
      </c>
    </row>
    <row r="31" spans="2:16" x14ac:dyDescent="0.3">
      <c r="B31" s="62" t="s">
        <v>38</v>
      </c>
      <c r="C31" s="54">
        <v>620.08000000000004</v>
      </c>
      <c r="D31" s="54">
        <v>572.79999999999995</v>
      </c>
      <c r="E31" s="54">
        <v>572.79999999999995</v>
      </c>
      <c r="F31" s="54">
        <v>501.88</v>
      </c>
      <c r="G31" s="54">
        <v>549.16</v>
      </c>
      <c r="H31" s="54">
        <v>572.79999999999995</v>
      </c>
      <c r="I31" s="54">
        <v>501.88</v>
      </c>
      <c r="J31" s="54">
        <v>549.16</v>
      </c>
      <c r="K31" s="54"/>
      <c r="L31" s="54"/>
      <c r="M31" s="54"/>
      <c r="N31" s="54"/>
      <c r="P31" s="61">
        <f>SUM(C31:N31)</f>
        <v>4440.5599999999995</v>
      </c>
    </row>
    <row r="33" spans="14:16" x14ac:dyDescent="0.3">
      <c r="N33" s="54" t="s">
        <v>42</v>
      </c>
      <c r="P33" s="61">
        <f>(P30*0.394) + 1515</f>
        <v>5155.5599999999995</v>
      </c>
    </row>
    <row r="34" spans="14:16" x14ac:dyDescent="0.3">
      <c r="N34" s="54" t="s">
        <v>43</v>
      </c>
      <c r="P34" s="61">
        <f>P33-P31</f>
        <v>715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6"/>
  <sheetViews>
    <sheetView topLeftCell="A4"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9" t="s">
        <v>23</v>
      </c>
      <c r="C2" s="70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500</v>
      </c>
    </row>
    <row r="6" spans="2:3" ht="25.95" customHeight="1" x14ac:dyDescent="0.3">
      <c r="B6" s="64" t="s">
        <v>44</v>
      </c>
      <c r="C6" s="33">
        <v>510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G6"/>
  <sheetViews>
    <sheetView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7" ht="16.95" customHeight="1" x14ac:dyDescent="0.3">
      <c r="B2" s="71" t="s">
        <v>33</v>
      </c>
      <c r="C2" s="71"/>
    </row>
    <row r="3" spans="2:7" ht="16.95" customHeight="1" x14ac:dyDescent="0.3">
      <c r="B3" s="38" t="s">
        <v>34</v>
      </c>
      <c r="C3" s="39">
        <f>('2023'!P27)+'2024'!P27+'2025'!P28</f>
        <v>7514.410000000008</v>
      </c>
    </row>
    <row r="4" spans="2:7" ht="16.95" customHeight="1" x14ac:dyDescent="0.3">
      <c r="B4" s="38" t="s">
        <v>39</v>
      </c>
      <c r="C4" s="40">
        <f>('2023'!P12)+'2024'!P12+'2025'!P12</f>
        <v>41.5</v>
      </c>
    </row>
    <row r="5" spans="2:7" x14ac:dyDescent="0.3">
      <c r="B5" s="38" t="s">
        <v>45</v>
      </c>
      <c r="C5" s="40">
        <f>(2.08*25)-C4</f>
        <v>10.5</v>
      </c>
    </row>
    <row r="6" spans="2:7" x14ac:dyDescent="0.3">
      <c r="G6" s="66"/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2025-09-08T09:23:17Z</dcterms:modified>
</cp:coreProperties>
</file>