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B852DE27-C4EF-487F-B95C-FA5D9CD09D53}" xr6:coauthVersionLast="47" xr6:coauthVersionMax="47" xr10:uidLastSave="{00000000-0000-0000-0000-000000000000}"/>
  <bookViews>
    <workbookView xWindow="-108" yWindow="-108" windowWidth="23256" windowHeight="14856" activeTab="5" xr2:uid="{00000000-000D-0000-FFFF-FFFF00000000}"/>
  </bookViews>
  <sheets>
    <sheet name="2022" sheetId="12" r:id="rId1"/>
    <sheet name="2023" sheetId="14" r:id="rId2"/>
    <sheet name="2024" sheetId="15" r:id="rId3"/>
    <sheet name="2025" sheetId="16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 localSheetId="3">'2025'!$J$3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1">'2023'!$F$3</definedName>
    <definedName name="AVRIL" localSheetId="2">'2024'!$F$3</definedName>
    <definedName name="AVRIL" localSheetId="3">'2025'!$F$3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1">'2023'!$D$3</definedName>
    <definedName name="FEVRIER" localSheetId="2">'2024'!$D$3</definedName>
    <definedName name="FEVRIER" localSheetId="3">'2025'!$D$3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'2024'!$B$33</definedName>
    <definedName name="FRAIS_KM" localSheetId="3">'2025'!$B$30</definedName>
    <definedName name="JANVIER" localSheetId="1">'2023'!$C$3</definedName>
    <definedName name="JANVIER" localSheetId="2">'2024'!$C$3</definedName>
    <definedName name="JANVIER" localSheetId="3">'2025'!$C$3</definedName>
    <definedName name="JANVIER">'2022'!$C$3</definedName>
    <definedName name="JUILLET" localSheetId="1">'2023'!$I$3</definedName>
    <definedName name="JUILLET" localSheetId="2">'2024'!$I$3</definedName>
    <definedName name="JUILLET" localSheetId="3">'2025'!$I$3</definedName>
    <definedName name="JUILLET">'2022'!$I$3</definedName>
    <definedName name="JUIN" localSheetId="1">'2023'!$H$3</definedName>
    <definedName name="JUIN" localSheetId="2">'2024'!$H$3</definedName>
    <definedName name="JUIN" localSheetId="3">'2025'!$H$3</definedName>
    <definedName name="JUIN">'2022'!$H$3</definedName>
    <definedName name="MAI" localSheetId="1">'2023'!$G$3</definedName>
    <definedName name="MAI" localSheetId="2">'2024'!$G$3</definedName>
    <definedName name="MAI" localSheetId="3">'2025'!$G$3</definedName>
    <definedName name="MAI">'2022'!$G$3</definedName>
    <definedName name="MARS" localSheetId="1">'2023'!$E$3</definedName>
    <definedName name="MARS" localSheetId="2">'2024'!$E$3</definedName>
    <definedName name="MARS" localSheetId="3">'2025'!$E$3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'2024'!$B$32</definedName>
    <definedName name="NOMBRE_KM" localSheetId="3">'2025'!$B$29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1">'2023'!$L$3</definedName>
    <definedName name="OCTOBRE" localSheetId="2">'2024'!$L$3</definedName>
    <definedName name="OCTOBRE" localSheetId="3">'2025'!$L$3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'2024'!$B$30</definedName>
    <definedName name="SOLDE" localSheetId="3">'2025'!$B$27</definedName>
    <definedName name="SORTIES" localSheetId="0">'2022'!$B$21</definedName>
    <definedName name="SORTIES" localSheetId="1">'2023'!$B$22</definedName>
    <definedName name="SORTIES" localSheetId="2">'2024'!$B$22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'2024'!$B$24</definedName>
    <definedName name="SORTIES_CHARGES_SOCIALES_PATRONALES" localSheetId="3">'2025'!$B$23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'2024'!$B$25</definedName>
    <definedName name="SORTIES_FRAIS_KM" localSheetId="3">'2025'!$B$24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'2024'!$B$23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'2024'!$B$20</definedName>
    <definedName name="TOTAL_ENTREES" localSheetId="3">'2025'!$B$19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'2024'!$B$28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3" i="16" l="1"/>
  <c r="I17" i="16"/>
  <c r="H23" i="16" l="1"/>
  <c r="H17" i="16"/>
  <c r="G23" i="16" l="1"/>
  <c r="G17" i="16"/>
  <c r="G19" i="16" s="1"/>
  <c r="P30" i="16"/>
  <c r="P29" i="16"/>
  <c r="L25" i="16"/>
  <c r="K25" i="16"/>
  <c r="J25" i="16"/>
  <c r="I25" i="16"/>
  <c r="H25" i="16"/>
  <c r="G25" i="16"/>
  <c r="F25" i="16"/>
  <c r="E25" i="16"/>
  <c r="D25" i="16"/>
  <c r="C25" i="16"/>
  <c r="P24" i="16"/>
  <c r="N25" i="16"/>
  <c r="M25" i="16"/>
  <c r="P22" i="16"/>
  <c r="L19" i="16"/>
  <c r="K19" i="16"/>
  <c r="J19" i="16"/>
  <c r="I19" i="16"/>
  <c r="H19" i="16"/>
  <c r="F19" i="16"/>
  <c r="E19" i="16"/>
  <c r="D19" i="16"/>
  <c r="C19" i="16"/>
  <c r="P18" i="16"/>
  <c r="N19" i="16"/>
  <c r="M19" i="16"/>
  <c r="P14" i="16"/>
  <c r="P13" i="16"/>
  <c r="P12" i="16"/>
  <c r="C4" i="13" s="1"/>
  <c r="C5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4" i="15"/>
  <c r="N27" i="16" l="1"/>
  <c r="K27" i="16"/>
  <c r="L27" i="16"/>
  <c r="D27" i="16"/>
  <c r="J27" i="16"/>
  <c r="I27" i="16"/>
  <c r="E27" i="16"/>
  <c r="F27" i="16"/>
  <c r="H27" i="16"/>
  <c r="P25" i="16"/>
  <c r="G27" i="16"/>
  <c r="P8" i="16"/>
  <c r="P17" i="16"/>
  <c r="M27" i="16"/>
  <c r="P19" i="16"/>
  <c r="C27" i="16"/>
  <c r="P23" i="16"/>
  <c r="M17" i="15"/>
  <c r="M20" i="15" s="1"/>
  <c r="P27" i="16" l="1"/>
  <c r="C3" i="13" s="1"/>
  <c r="M28" i="15"/>
  <c r="N28" i="15"/>
  <c r="P33" i="15" l="1"/>
  <c r="P32" i="15"/>
  <c r="P26" i="15"/>
  <c r="P25" i="15"/>
  <c r="L24" i="15"/>
  <c r="L28" i="15" s="1"/>
  <c r="K24" i="15"/>
  <c r="K28" i="15" s="1"/>
  <c r="J24" i="15"/>
  <c r="J28" i="15" s="1"/>
  <c r="I24" i="15"/>
  <c r="I28" i="15" s="1"/>
  <c r="H24" i="15"/>
  <c r="H28" i="15" s="1"/>
  <c r="G24" i="15"/>
  <c r="G28" i="15" s="1"/>
  <c r="F24" i="15"/>
  <c r="F28" i="15" s="1"/>
  <c r="E24" i="15"/>
  <c r="E28" i="15" s="1"/>
  <c r="D24" i="15"/>
  <c r="D28" i="15" s="1"/>
  <c r="C24" i="15"/>
  <c r="P23" i="15"/>
  <c r="N20" i="15"/>
  <c r="N30" i="15" s="1"/>
  <c r="P18" i="15"/>
  <c r="L17" i="15"/>
  <c r="L20" i="15" s="1"/>
  <c r="K17" i="15"/>
  <c r="K20" i="15" s="1"/>
  <c r="J17" i="15"/>
  <c r="J20" i="15" s="1"/>
  <c r="I17" i="15"/>
  <c r="I20" i="15" s="1"/>
  <c r="H17" i="15"/>
  <c r="H20" i="15" s="1"/>
  <c r="G17" i="15"/>
  <c r="G20" i="15" s="1"/>
  <c r="F17" i="15"/>
  <c r="F20" i="15" s="1"/>
  <c r="F30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G28" i="14"/>
  <c r="M27" i="14"/>
  <c r="P27" i="14" s="1"/>
  <c r="P26" i="14"/>
  <c r="P25" i="14"/>
  <c r="N24" i="14"/>
  <c r="N28" i="14" s="1"/>
  <c r="M24" i="14"/>
  <c r="M28" i="14" s="1"/>
  <c r="L24" i="14"/>
  <c r="L28" i="14" s="1"/>
  <c r="K24" i="14"/>
  <c r="K28" i="14" s="1"/>
  <c r="J24" i="14"/>
  <c r="J28" i="14" s="1"/>
  <c r="I24" i="14"/>
  <c r="I28" i="14" s="1"/>
  <c r="H24" i="14"/>
  <c r="H28" i="14" s="1"/>
  <c r="G24" i="14"/>
  <c r="F24" i="14"/>
  <c r="F28" i="14" s="1"/>
  <c r="E24" i="14"/>
  <c r="E28" i="14" s="1"/>
  <c r="D24" i="14"/>
  <c r="D28" i="14" s="1"/>
  <c r="C24" i="14"/>
  <c r="C28" i="14" s="1"/>
  <c r="P23" i="14"/>
  <c r="L20" i="14"/>
  <c r="P19" i="14"/>
  <c r="P18" i="14"/>
  <c r="N17" i="14"/>
  <c r="N20" i="14" s="1"/>
  <c r="M17" i="14"/>
  <c r="M20" i="14" s="1"/>
  <c r="L17" i="14"/>
  <c r="K17" i="14"/>
  <c r="K20" i="14" s="1"/>
  <c r="K30" i="14" s="1"/>
  <c r="J17" i="14"/>
  <c r="J20" i="14" s="1"/>
  <c r="I17" i="14"/>
  <c r="I20" i="14" s="1"/>
  <c r="H17" i="14"/>
  <c r="H20" i="14" s="1"/>
  <c r="H30" i="14" s="1"/>
  <c r="G17" i="14"/>
  <c r="G20" i="14" s="1"/>
  <c r="F17" i="14"/>
  <c r="F20" i="14" s="1"/>
  <c r="F30" i="14" s="1"/>
  <c r="E17" i="14"/>
  <c r="E20" i="14" s="1"/>
  <c r="D17" i="14"/>
  <c r="D20" i="14" s="1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K19" i="12"/>
  <c r="J19" i="12"/>
  <c r="I19" i="12"/>
  <c r="I27" i="12" s="1"/>
  <c r="H19" i="12"/>
  <c r="G19" i="12"/>
  <c r="F19" i="12"/>
  <c r="E19" i="12"/>
  <c r="D19" i="12"/>
  <c r="C19" i="12"/>
  <c r="P18" i="12"/>
  <c r="N17" i="12"/>
  <c r="N19" i="12" s="1"/>
  <c r="M17" i="12"/>
  <c r="M19" i="12" s="1"/>
  <c r="L17" i="12"/>
  <c r="L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G30" i="15" l="1"/>
  <c r="J27" i="12"/>
  <c r="G30" i="14"/>
  <c r="C27" i="12"/>
  <c r="E27" i="12"/>
  <c r="D30" i="15"/>
  <c r="L30" i="15"/>
  <c r="K27" i="12"/>
  <c r="L27" i="12"/>
  <c r="G27" i="12"/>
  <c r="D30" i="14"/>
  <c r="P17" i="12"/>
  <c r="I30" i="15"/>
  <c r="E30" i="15"/>
  <c r="M27" i="12"/>
  <c r="P24" i="15"/>
  <c r="C28" i="15"/>
  <c r="P28" i="15" s="1"/>
  <c r="N27" i="12"/>
  <c r="H27" i="12"/>
  <c r="P24" i="14"/>
  <c r="I30" i="14"/>
  <c r="P19" i="12"/>
  <c r="P25" i="12"/>
  <c r="P8" i="14"/>
  <c r="P17" i="14"/>
  <c r="P23" i="12"/>
  <c r="C30" i="14"/>
  <c r="P8" i="12"/>
  <c r="F27" i="12"/>
  <c r="D27" i="12"/>
  <c r="L30" i="14"/>
  <c r="M30" i="15"/>
  <c r="P8" i="15"/>
  <c r="J30" i="14"/>
  <c r="P20" i="15"/>
  <c r="E30" i="14"/>
  <c r="H30" i="15"/>
  <c r="P28" i="14"/>
  <c r="M30" i="14"/>
  <c r="N30" i="14"/>
  <c r="J30" i="15"/>
  <c r="K30" i="15"/>
  <c r="P17" i="15"/>
  <c r="P20" i="14"/>
  <c r="P27" i="12" l="1"/>
  <c r="P30" i="14"/>
  <c r="C30" i="15"/>
  <c r="P3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<sst xmlns="http://schemas.openxmlformats.org/spreadsheetml/2006/main" count="162" uniqueCount="53">
  <si>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</si>
  <si>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</si>
  <si>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</si>
  <si>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</si>
  <si>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</si>
  <si>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</si>
  <si>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</si>
  <si>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</si>
  <si>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</si>
  <si>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</si>
  <si>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</si>
  <si>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</si>
  <si>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</si>
  <si>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</si>
  <si>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</si>
  <si>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</si>
  <si>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</si>
  <si>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</si>
  <si>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</si>
  <si>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</si>
  <si>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</si>
  <si>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</si>
  <si>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</si>
  <si>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</si>
  <si>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</si>
  <si>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</si>
  <si>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</si>
  <si>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</si>
  <si>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</si>
  <si>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</si>
  <si>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</si>
  <si>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</si>
  <si>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</si>
  <si>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</si>
  <si>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</si>
  <si>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</si>
  <si>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</si>
  <si>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</si>
  <si>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</si>
  <si>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</si>
  <si>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</si>
  <si>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</si>
  <si>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</si>
  <si>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</si>
  <si>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</si>
  <si>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</si>
  <si>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</si>
  <si>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</si>
  <si>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</si>
  <si>
    <t>Acompte</t>
  </si>
  <si>
    <t>Remboursement acompte</t>
  </si>
  <si>
    <t>TJM(Mai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</si>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</sst>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workbookViewId="0">
      <selection activeCell="M21" sqref="M2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>
        <v>23</v>
      </c>
      <c r="M7" s="37">
        <v>19</v>
      </c>
      <c r="N7" s="37"/>
      <c r="O7" s="36"/>
      <c r="P7" s="58">
        <f>SUM(C7:N7)</f>
        <v>225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4</v>
      </c>
      <c r="M8" s="64">
        <f t="shared" si="0"/>
        <v>0</v>
      </c>
      <c r="N8" s="64">
        <f t="shared" si="0"/>
        <v>0</v>
      </c>
      <c r="O8" s="36"/>
      <c r="P8" s="58">
        <f>SUM(C8:N8)</f>
        <v>16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>
        <v>23</v>
      </c>
      <c r="M11" s="11">
        <v>19</v>
      </c>
      <c r="N11" s="11"/>
      <c r="P11" s="59">
        <f>SUM(C11:N11)</f>
        <v>225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>
        <v>10</v>
      </c>
      <c r="M12" s="12"/>
      <c r="N12" s="12"/>
      <c r="P12" s="59">
        <f>SUM(C12:N12)</f>
        <v>16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>
        <f>L11*Params!$C$6*(1-Params!$C$3)-Params!$C$4</f>
        <v>10505</v>
      </c>
      <c r="M17" s="10">
        <f>M11*Params!$C$6*(1-Params!$C$3)-Params!$C$4</f>
        <v>8665</v>
      </c>
      <c r="N17" s="10"/>
      <c r="O17" s="4"/>
      <c r="P17" s="41">
        <f>SUM(C17:N17)</f>
        <v>102675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2750</v>
      </c>
      <c r="K18" s="10"/>
      <c r="L18" s="10"/>
      <c r="M18" s="10"/>
      <c r="N18" s="10"/>
      <c r="O18" s="4"/>
      <c r="P18" s="41">
        <f>SUM(C18:N18)</f>
        <v>2750</v>
      </c>
    </row>
    <row r="19" spans="2:16" x14ac:dyDescent="0.3">
      <c r="B19" s="55" t="s">
        <v>50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1000</v>
      </c>
      <c r="N19" s="56"/>
      <c r="O19" s="4"/>
      <c r="P19" s="66"/>
    </row>
    <row r="20" spans="2:16" x14ac:dyDescent="0.3">
      <c r="B20" s="27" t="s">
        <v>2</v>
      </c>
      <c r="C20" s="28">
        <f t="shared" ref="C20:N20" si="1">SUM(C17:C18)</f>
        <v>10045</v>
      </c>
      <c r="D20" s="28">
        <f t="shared" si="1"/>
        <v>9585</v>
      </c>
      <c r="E20" s="28">
        <f t="shared" si="1"/>
        <v>9585</v>
      </c>
      <c r="F20" s="28">
        <f t="shared" si="1"/>
        <v>9585</v>
      </c>
      <c r="G20" s="28">
        <f t="shared" si="1"/>
        <v>8665</v>
      </c>
      <c r="H20" s="28">
        <f t="shared" si="1"/>
        <v>9125</v>
      </c>
      <c r="I20" s="28">
        <f t="shared" si="1"/>
        <v>8205</v>
      </c>
      <c r="J20" s="28">
        <f t="shared" si="1"/>
        <v>11875</v>
      </c>
      <c r="K20" s="28">
        <f t="shared" si="1"/>
        <v>9585</v>
      </c>
      <c r="L20" s="28">
        <f t="shared" si="1"/>
        <v>10505</v>
      </c>
      <c r="M20" s="28">
        <f>SUM(M17:M19)</f>
        <v>9665</v>
      </c>
      <c r="N20" s="28">
        <f t="shared" si="1"/>
        <v>0</v>
      </c>
      <c r="O20" s="5"/>
      <c r="P20" s="42">
        <f>SUM(C20:O20)</f>
        <v>106425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5165.58</v>
      </c>
      <c r="D23" s="10">
        <v>5165.58</v>
      </c>
      <c r="E23" s="10">
        <v>5165.58</v>
      </c>
      <c r="F23" s="10">
        <v>5165.58</v>
      </c>
      <c r="G23" s="10">
        <v>5165.58</v>
      </c>
      <c r="H23" s="10">
        <v>5165.58</v>
      </c>
      <c r="I23" s="10">
        <v>4165.58</v>
      </c>
      <c r="J23" s="10">
        <v>5165.58</v>
      </c>
      <c r="K23" s="10">
        <v>5165.58</v>
      </c>
      <c r="L23" s="10">
        <v>5165.58</v>
      </c>
      <c r="M23" s="10">
        <v>7157.44</v>
      </c>
      <c r="N23" s="10"/>
      <c r="O23" s="4"/>
      <c r="P23" s="43">
        <f>SUM(C23:N23)</f>
        <v>57813.240000000013</v>
      </c>
    </row>
    <row r="24" spans="2:16" x14ac:dyDescent="0.3">
      <c r="B24" s="9" t="s">
        <v>8</v>
      </c>
      <c r="C24" s="10">
        <f>1099.12+2006.83</f>
        <v>3105.95</v>
      </c>
      <c r="D24" s="10">
        <f>1099.12+2006.83</f>
        <v>3105.95</v>
      </c>
      <c r="E24" s="10">
        <f>1099.12+2006.83</f>
        <v>3105.95</v>
      </c>
      <c r="F24" s="10">
        <f>1099.12+2006.83</f>
        <v>3105.95</v>
      </c>
      <c r="G24" s="10">
        <f>1099.12+2028.26</f>
        <v>3127.38</v>
      </c>
      <c r="H24" s="10">
        <f>1099.12+2028.26</f>
        <v>3127.38</v>
      </c>
      <c r="I24" s="10">
        <f>1099.12+2030.65</f>
        <v>3129.77</v>
      </c>
      <c r="J24" s="10">
        <f>1099.12+2032.72</f>
        <v>3131.84</v>
      </c>
      <c r="K24" s="10">
        <f>1099.12+2031.07</f>
        <v>3130.1899999999996</v>
      </c>
      <c r="L24" s="10">
        <f>1099.12+2030.65</f>
        <v>3129.77</v>
      </c>
      <c r="M24" s="10">
        <f>1815+3390.08</f>
        <v>5205.08</v>
      </c>
      <c r="N24" s="10"/>
      <c r="O24" s="4"/>
      <c r="P24" s="43">
        <f>SUM(C24:N24)</f>
        <v>36405.21</v>
      </c>
    </row>
    <row r="25" spans="2:16" x14ac:dyDescent="0.3">
      <c r="B25" s="55" t="s">
        <v>40</v>
      </c>
      <c r="C25" s="56">
        <v>167.28</v>
      </c>
      <c r="D25" s="56">
        <v>167.28</v>
      </c>
      <c r="E25" s="56">
        <v>139.4</v>
      </c>
      <c r="F25" s="56">
        <v>139.4</v>
      </c>
      <c r="G25" s="56">
        <v>153.34</v>
      </c>
      <c r="H25" s="56">
        <v>153.34</v>
      </c>
      <c r="I25" s="56">
        <v>139.4</v>
      </c>
      <c r="J25" s="56">
        <v>167.28</v>
      </c>
      <c r="K25" s="56">
        <v>153.34</v>
      </c>
      <c r="L25" s="56">
        <v>167.28</v>
      </c>
      <c r="M25" s="56">
        <v>139.4</v>
      </c>
      <c r="N25" s="56"/>
      <c r="O25" s="4"/>
      <c r="P25" s="43">
        <f>SUM(C25:N25)</f>
        <v>1686.74</v>
      </c>
    </row>
    <row r="26" spans="2:16" x14ac:dyDescent="0.3">
      <c r="B26" s="9" t="s">
        <v>48</v>
      </c>
      <c r="C26" s="10"/>
      <c r="D26" s="10"/>
      <c r="E26" s="10"/>
      <c r="F26" s="10">
        <v>66.64</v>
      </c>
      <c r="G26" s="10">
        <v>3485</v>
      </c>
      <c r="H26" s="10"/>
      <c r="I26" s="10"/>
      <c r="J26" s="10"/>
      <c r="K26" s="10"/>
      <c r="L26" s="10"/>
      <c r="M26" s="10"/>
      <c r="N26" s="10"/>
      <c r="O26" s="4"/>
      <c r="P26" s="43">
        <f>SUM(C26:N26)</f>
        <v>3551.64</v>
      </c>
    </row>
    <row r="27" spans="2:16" x14ac:dyDescent="0.3">
      <c r="B27" s="55" t="s">
        <v>49</v>
      </c>
      <c r="C27" s="56"/>
      <c r="D27" s="56"/>
      <c r="E27" s="56"/>
      <c r="F27" s="56"/>
      <c r="G27" s="56"/>
      <c r="H27" s="56"/>
      <c r="I27" s="56">
        <v>1000</v>
      </c>
      <c r="J27" s="56"/>
      <c r="K27" s="56"/>
      <c r="L27" s="56"/>
      <c r="M27" s="56">
        <v>5000</v>
      </c>
      <c r="N27" s="56"/>
      <c r="O27" s="4"/>
      <c r="P27" s="43"/>
    </row>
    <row r="28" spans="2:16" x14ac:dyDescent="0.3">
      <c r="B28" s="8" t="s">
        <v>3</v>
      </c>
      <c r="C28" s="44">
        <f>SUM(C23:C27)</f>
        <v>8438.81</v>
      </c>
      <c r="D28" s="44">
        <f t="shared" ref="D28:N28" si="2">SUM(D23:D27)</f>
        <v>8438.81</v>
      </c>
      <c r="E28" s="44">
        <f t="shared" si="2"/>
        <v>8410.9299999999985</v>
      </c>
      <c r="F28" s="44">
        <f t="shared" si="2"/>
        <v>8477.5699999999979</v>
      </c>
      <c r="G28" s="44">
        <f t="shared" si="2"/>
        <v>11931.3</v>
      </c>
      <c r="H28" s="44">
        <f t="shared" si="2"/>
        <v>8446.2999999999993</v>
      </c>
      <c r="I28" s="44">
        <f t="shared" si="2"/>
        <v>8434.75</v>
      </c>
      <c r="J28" s="44">
        <f t="shared" si="2"/>
        <v>8464.7000000000007</v>
      </c>
      <c r="K28" s="44">
        <f t="shared" si="2"/>
        <v>8449.11</v>
      </c>
      <c r="L28" s="44">
        <f t="shared" si="2"/>
        <v>8462.630000000001</v>
      </c>
      <c r="M28" s="44">
        <f t="shared" si="2"/>
        <v>17501.919999999998</v>
      </c>
      <c r="N28" s="44">
        <f t="shared" si="2"/>
        <v>0</v>
      </c>
      <c r="O28" s="4"/>
      <c r="P28" s="61">
        <f>SUM(C28:N28)</f>
        <v>105456.83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C20-C28</f>
        <v>1606.1900000000005</v>
      </c>
      <c r="D30" s="47">
        <f t="shared" si="3"/>
        <v>1146.1900000000005</v>
      </c>
      <c r="E30" s="47">
        <f t="shared" si="3"/>
        <v>1174.0700000000015</v>
      </c>
      <c r="F30" s="47">
        <f t="shared" si="3"/>
        <v>1107.4300000000021</v>
      </c>
      <c r="G30" s="47">
        <f t="shared" si="3"/>
        <v>-3266.2999999999993</v>
      </c>
      <c r="H30" s="47">
        <f t="shared" si="3"/>
        <v>678.70000000000073</v>
      </c>
      <c r="I30" s="47">
        <f t="shared" si="3"/>
        <v>-229.75</v>
      </c>
      <c r="J30" s="47">
        <f t="shared" si="3"/>
        <v>3410.2999999999993</v>
      </c>
      <c r="K30" s="47">
        <f t="shared" si="3"/>
        <v>1135.8899999999994</v>
      </c>
      <c r="L30" s="47">
        <f t="shared" si="3"/>
        <v>2042.369999999999</v>
      </c>
      <c r="M30" s="47">
        <f t="shared" si="3"/>
        <v>-7836.9199999999983</v>
      </c>
      <c r="N30" s="47">
        <f t="shared" si="3"/>
        <v>0</v>
      </c>
      <c r="P30" s="60">
        <f>SUM(C30:O30)</f>
        <v>968.17000000000553</v>
      </c>
    </row>
    <row r="32" spans="2:16" x14ac:dyDescent="0.3">
      <c r="B32" s="63" t="s">
        <v>37</v>
      </c>
      <c r="C32" s="54">
        <v>240</v>
      </c>
      <c r="D32" s="54">
        <v>240</v>
      </c>
      <c r="E32" s="54">
        <v>200</v>
      </c>
      <c r="F32" s="54">
        <v>200</v>
      </c>
      <c r="G32" s="54">
        <v>220</v>
      </c>
      <c r="H32" s="54">
        <v>220</v>
      </c>
      <c r="I32" s="54">
        <v>200</v>
      </c>
      <c r="J32" s="54">
        <v>240</v>
      </c>
      <c r="K32" s="54">
        <v>220</v>
      </c>
      <c r="L32" s="54">
        <v>240</v>
      </c>
      <c r="M32" s="54"/>
      <c r="N32" s="54"/>
      <c r="P32" s="62">
        <f>SUM(C32:N32)</f>
        <v>2220</v>
      </c>
    </row>
    <row r="33" spans="2:16" x14ac:dyDescent="0.3">
      <c r="B33" s="63" t="s">
        <v>38</v>
      </c>
      <c r="C33" s="54">
        <v>167.28</v>
      </c>
      <c r="D33" s="54">
        <v>167.28</v>
      </c>
      <c r="E33" s="54">
        <v>139.4</v>
      </c>
      <c r="F33" s="54">
        <v>139.4</v>
      </c>
      <c r="G33" s="54">
        <v>153.34</v>
      </c>
      <c r="H33" s="54">
        <v>153.34</v>
      </c>
      <c r="I33" s="54">
        <v>139.4</v>
      </c>
      <c r="J33" s="54">
        <v>167.28</v>
      </c>
      <c r="K33" s="54">
        <v>153.34</v>
      </c>
      <c r="L33" s="54">
        <v>167.28</v>
      </c>
      <c r="M33" s="54"/>
      <c r="N33" s="54"/>
      <c r="P33" s="62">
        <f>SUM(C33:N33)</f>
        <v>1547.34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opLeftCell="B1" workbookViewId="0">
      <selection activeCell="I30" sqref="I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17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8">
        <f>SUM(C6:N6)</f>
        <v>55</v>
      </c>
    </row>
    <row r="7" spans="2:16" x14ac:dyDescent="0.3">
      <c r="B7" s="9" t="s">
        <v>21</v>
      </c>
      <c r="C7" s="37"/>
      <c r="D7" s="37"/>
      <c r="E7" s="37"/>
      <c r="F7" s="37"/>
      <c r="G7" s="37">
        <v>17</v>
      </c>
      <c r="H7" s="37">
        <v>20</v>
      </c>
      <c r="I7" s="37">
        <v>21</v>
      </c>
      <c r="J7" s="37"/>
      <c r="K7" s="37"/>
      <c r="L7" s="37"/>
      <c r="M7" s="37"/>
      <c r="N7" s="37"/>
      <c r="O7" s="36"/>
      <c r="P7" s="58">
        <f>SUM(C7:N7)</f>
        <v>58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1</v>
      </c>
      <c r="I8" s="64">
        <f t="shared" si="0"/>
        <v>2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17</v>
      </c>
      <c r="H11" s="11">
        <v>20</v>
      </c>
      <c r="I11" s="11">
        <v>21</v>
      </c>
      <c r="J11" s="11"/>
      <c r="K11" s="11"/>
      <c r="L11" s="11"/>
      <c r="M11" s="11"/>
      <c r="N11" s="11"/>
      <c r="P11" s="59">
        <f>SUM(C11:N11)</f>
        <v>58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1</v>
      </c>
      <c r="J12" s="12"/>
      <c r="K12" s="12"/>
      <c r="L12" s="12"/>
      <c r="M12" s="12"/>
      <c r="N12" s="12"/>
      <c r="P12" s="59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G11*Params!$C$7*(1-Params!$C$3)-Params!$C$4</f>
        <v>7432.2000000000007</v>
      </c>
      <c r="H17" s="10">
        <f>H11*Params!$C$7*(1-Params!$C$3)-Params!$C$4</f>
        <v>8757</v>
      </c>
      <c r="I17" s="10">
        <f>I11*Params!$C$7*(1-Params!$C$3)-Params!$C$4</f>
        <v>9198.6</v>
      </c>
      <c r="J17" s="10"/>
      <c r="K17" s="10"/>
      <c r="L17" s="10"/>
      <c r="M17" s="10"/>
      <c r="N17" s="10"/>
      <c r="O17" s="4"/>
      <c r="P17" s="41">
        <f>SUM(C17:N17)</f>
        <v>25387.800000000003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7432.2000000000007</v>
      </c>
      <c r="H19" s="28">
        <f t="shared" si="1"/>
        <v>8757</v>
      </c>
      <c r="I19" s="28">
        <f t="shared" si="1"/>
        <v>9198.6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25387.800000000003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>
        <v>4076.8</v>
      </c>
      <c r="H22" s="10">
        <v>4653.25</v>
      </c>
      <c r="I22" s="10">
        <v>4653.25</v>
      </c>
      <c r="J22" s="10"/>
      <c r="K22" s="10"/>
      <c r="L22" s="10"/>
      <c r="M22" s="10"/>
      <c r="N22" s="10"/>
      <c r="O22" s="4"/>
      <c r="P22" s="43">
        <f>SUM(C22:N22)</f>
        <v>13383.3</v>
      </c>
    </row>
    <row r="23" spans="2:16" x14ac:dyDescent="0.3">
      <c r="B23" s="9" t="s">
        <v>8</v>
      </c>
      <c r="C23" s="10"/>
      <c r="D23" s="10"/>
      <c r="E23" s="10"/>
      <c r="F23" s="10"/>
      <c r="G23" s="10">
        <f>977.89+1804.36</f>
        <v>2782.25</v>
      </c>
      <c r="H23" s="10">
        <f>1109.08+2050.38</f>
        <v>3159.46</v>
      </c>
      <c r="I23" s="10">
        <f>1109.08+2050.38</f>
        <v>3159.46</v>
      </c>
      <c r="J23" s="10"/>
      <c r="K23" s="10"/>
      <c r="L23" s="10"/>
      <c r="M23" s="10"/>
      <c r="N23" s="10"/>
      <c r="O23" s="4"/>
      <c r="P23" s="43">
        <f>SUM(C23:N23)</f>
        <v>9101.17</v>
      </c>
    </row>
    <row r="24" spans="2:16" x14ac:dyDescent="0.3">
      <c r="B24" s="55" t="s">
        <v>40</v>
      </c>
      <c r="C24" s="56"/>
      <c r="D24" s="56"/>
      <c r="E24" s="56"/>
      <c r="F24" s="56"/>
      <c r="G24" s="56">
        <v>434.9</v>
      </c>
      <c r="H24" s="56">
        <v>494</v>
      </c>
      <c r="I24" s="56">
        <v>513.70000000000005</v>
      </c>
      <c r="J24" s="56"/>
      <c r="K24" s="56"/>
      <c r="L24" s="56"/>
      <c r="M24" s="56"/>
      <c r="N24" s="56"/>
      <c r="O24" s="4"/>
      <c r="P24" s="43">
        <f>SUM(C24:N24)</f>
        <v>1442.6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7293.95</v>
      </c>
      <c r="H25" s="44">
        <f t="shared" si="2"/>
        <v>8306.7099999999991</v>
      </c>
      <c r="I25" s="44">
        <f t="shared" si="2"/>
        <v>8326.41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23927.07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138.25000000000091</v>
      </c>
      <c r="H27" s="47">
        <f t="shared" si="3"/>
        <v>450.29000000000087</v>
      </c>
      <c r="I27" s="47">
        <f t="shared" si="3"/>
        <v>872.19000000000051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1460.7300000000023</v>
      </c>
    </row>
    <row r="29" spans="2:16" x14ac:dyDescent="0.3">
      <c r="B29" s="63" t="s">
        <v>37</v>
      </c>
      <c r="C29" s="54"/>
      <c r="D29" s="54"/>
      <c r="E29" s="54"/>
      <c r="F29" s="54"/>
      <c r="G29" s="54">
        <v>850</v>
      </c>
      <c r="H29" s="54">
        <v>1000</v>
      </c>
      <c r="I29" s="54">
        <v>1050</v>
      </c>
      <c r="J29" s="54"/>
      <c r="K29" s="54"/>
      <c r="L29" s="54"/>
      <c r="M29" s="54"/>
      <c r="N29" s="54"/>
      <c r="P29" s="62">
        <f>SUM(C29:N29)</f>
        <v>2900</v>
      </c>
    </row>
    <row r="30" spans="2:16" x14ac:dyDescent="0.3">
      <c r="B30" s="63" t="s">
        <v>38</v>
      </c>
      <c r="C30" s="54"/>
      <c r="D30" s="54"/>
      <c r="E30" s="54"/>
      <c r="F30" s="54"/>
      <c r="G30" s="54">
        <v>434.9</v>
      </c>
      <c r="H30" s="54">
        <v>494</v>
      </c>
      <c r="I30" s="54">
        <v>513.70000000000005</v>
      </c>
      <c r="J30" s="54"/>
      <c r="K30" s="54"/>
      <c r="L30" s="54"/>
      <c r="M30" s="54"/>
      <c r="N30" s="54"/>
      <c r="P30" s="62">
        <f>SUM(C30:N30)</f>
        <v>1442.6</v>
      </c>
    </row>
    <row r="33" spans="7:7" x14ac:dyDescent="0.3">
      <c r="G33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workbookViewId="0">
      <selection activeCell="C10" sqref="C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33" t="s">
        <v>47</v>
      </c>
      <c r="C6" s="33">
        <v>500</v>
      </c>
    </row>
    <row r="7" spans="2:3" ht="30" customHeight="1" x14ac:dyDescent="0.3">
      <c r="B7" s="65" t="s">
        <v>51</v>
      </c>
      <c r="C7" s="33">
        <v>480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'2025'!P27</f>
        <v>1460.7300000000023</v>
      </c>
    </row>
    <row r="4" spans="2:3" ht="16.95" customHeight="1" x14ac:dyDescent="0.3">
      <c r="B4" s="38" t="s">
        <v>39</v>
      </c>
      <c r="C4" s="40">
        <f>'2025'!P12</f>
        <v>1</v>
      </c>
    </row>
    <row r="5" spans="2:3" x14ac:dyDescent="0.3">
      <c r="B5" t="s">
        <v>52</v>
      </c>
      <c r="C5">
        <f>(3*2.08)-C4</f>
        <v>5.24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2025-08-13T18:03:56Z</dcterms:modified>
</cp:coreProperties>
</file>