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7\Normal\"/>
    </mc:Choice>
  </mc:AlternateContent>
  <bookViews>
    <workbookView xWindow="0" yWindow="0" windowWidth="15130" windowHeight="2560" activeTab="1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'2024'!$B$32</definedName>
    <definedName name="SOLDE" localSheetId="1">'2025'!$B$29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'2024'!$B$26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'2024'!$B$28</definedName>
    <definedName name="TOTAL_SORTIES" localSheetId="1">'2025'!$B$25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3" i="16" l="1"/>
  <c r="C5" i="13"/>
  <c r="I17" i="16"/>
  <c r="H29" i="16" l="1"/>
  <c r="H23" i="16"/>
  <c r="H17" i="16" l="1"/>
  <c r="G17" i="16" l="1"/>
  <c r="G23" i="16"/>
  <c r="F23" i="16" l="1"/>
  <c r="F17" i="16"/>
  <c r="P27" i="16" l="1"/>
  <c r="N25" i="16"/>
  <c r="M25" i="16"/>
  <c r="L25" i="16"/>
  <c r="K25" i="16"/>
  <c r="J25" i="16"/>
  <c r="I25" i="16"/>
  <c r="H25" i="16"/>
  <c r="G25" i="16"/>
  <c r="F25" i="16"/>
  <c r="D25" i="16"/>
  <c r="P24" i="16"/>
  <c r="E23" i="16"/>
  <c r="E25" i="16" s="1"/>
  <c r="D23" i="16"/>
  <c r="C23" i="16"/>
  <c r="C25" i="16" s="1"/>
  <c r="P22" i="16"/>
  <c r="N19" i="16"/>
  <c r="N29" i="16" s="1"/>
  <c r="M19" i="16"/>
  <c r="L19" i="16"/>
  <c r="L29" i="16" s="1"/>
  <c r="K19" i="16"/>
  <c r="J19" i="16"/>
  <c r="I19" i="16"/>
  <c r="H19" i="16"/>
  <c r="G19" i="16"/>
  <c r="F19" i="16"/>
  <c r="P18" i="16"/>
  <c r="E17" i="16"/>
  <c r="E19" i="16" s="1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0" i="15"/>
  <c r="H28" i="15"/>
  <c r="G28" i="15"/>
  <c r="F28" i="15"/>
  <c r="E28" i="15"/>
  <c r="D28" i="15"/>
  <c r="C28" i="15"/>
  <c r="P27" i="15"/>
  <c r="N26" i="15"/>
  <c r="M26" i="15"/>
  <c r="L26" i="15"/>
  <c r="K26" i="15"/>
  <c r="J26" i="15"/>
  <c r="I26" i="15"/>
  <c r="N24" i="15"/>
  <c r="M24" i="15"/>
  <c r="L24" i="15"/>
  <c r="K24" i="15"/>
  <c r="J24" i="15"/>
  <c r="I24" i="15"/>
  <c r="N23" i="15"/>
  <c r="M23" i="15"/>
  <c r="L23" i="15"/>
  <c r="K23" i="15"/>
  <c r="K25" i="15" s="1"/>
  <c r="J23" i="15"/>
  <c r="J25" i="15" s="1"/>
  <c r="I23" i="15"/>
  <c r="I25" i="15" s="1"/>
  <c r="P22" i="15"/>
  <c r="H19" i="15"/>
  <c r="H32" i="15" s="1"/>
  <c r="G19" i="15"/>
  <c r="F19" i="15"/>
  <c r="E19" i="15"/>
  <c r="D19" i="15"/>
  <c r="D32" i="15" s="1"/>
  <c r="C19" i="15"/>
  <c r="P18" i="15"/>
  <c r="N17" i="15"/>
  <c r="N19" i="15" s="1"/>
  <c r="M17" i="15"/>
  <c r="M19" i="15" s="1"/>
  <c r="L17" i="15"/>
  <c r="L19" i="15" s="1"/>
  <c r="K17" i="15"/>
  <c r="K19" i="15" s="1"/>
  <c r="J17" i="15"/>
  <c r="J19" i="15" s="1"/>
  <c r="I17" i="15"/>
  <c r="I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E32" i="15" l="1"/>
  <c r="P26" i="15"/>
  <c r="J29" i="16"/>
  <c r="P8" i="15"/>
  <c r="P23" i="16"/>
  <c r="F32" i="15"/>
  <c r="D29" i="16"/>
  <c r="K29" i="16"/>
  <c r="G32" i="15"/>
  <c r="C4" i="13"/>
  <c r="M29" i="16"/>
  <c r="E29" i="16"/>
  <c r="P24" i="15"/>
  <c r="I29" i="16"/>
  <c r="G29" i="16"/>
  <c r="P8" i="16"/>
  <c r="F29" i="16"/>
  <c r="P25" i="16"/>
  <c r="M28" i="15"/>
  <c r="M32" i="15" s="1"/>
  <c r="P19" i="16"/>
  <c r="C29" i="16"/>
  <c r="P19" i="15"/>
  <c r="L25" i="15"/>
  <c r="L28" i="15" s="1"/>
  <c r="L32" i="15" s="1"/>
  <c r="M25" i="15"/>
  <c r="N25" i="15"/>
  <c r="N28" i="15" s="1"/>
  <c r="N32" i="15" s="1"/>
  <c r="I28" i="15"/>
  <c r="I32" i="15" s="1"/>
  <c r="C32" i="15"/>
  <c r="K28" i="15"/>
  <c r="K32" i="15" s="1"/>
  <c r="J28" i="15"/>
  <c r="J32" i="15" s="1"/>
  <c r="P23" i="15"/>
  <c r="P17" i="16"/>
  <c r="P17" i="15"/>
  <c r="P25" i="15" l="1"/>
  <c r="P29" i="16"/>
  <c r="P28" i="15"/>
  <c r="P32" i="15"/>
  <c r="C3" i="13" l="1"/>
</calcChain>
</file>

<file path=xl/comments1.xml><?xml version="1.0" encoding="utf-8"?>
<comments xmlns="http://schemas.openxmlformats.org/spreadsheetml/2006/main">
  <authors>
    <author>PC-HOUDA</author>
  </authors>
  <commentList>
    <comment ref="J27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déduire de son salaire de Septembre</t>
        </r>
      </text>
    </comment>
    <comment ref="M27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deduire de son salaire de Novembre</t>
        </r>
      </text>
    </comment>
    <comment ref="N27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rembourser a partir de décembre 250 E/mois</t>
        </r>
      </text>
    </comment>
  </commentList>
</comments>
</file>

<file path=xl/sharedStrings.xml><?xml version="1.0" encoding="utf-8"?>
<sst xmlns="http://schemas.openxmlformats.org/spreadsheetml/2006/main" count="81" uniqueCount="45">
  <si>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</si>
  <si>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</si>
  <si>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</si>
  <si>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</si>
  <si>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</si>
  <si>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</si>
  <si>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</si>
  <si>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</si>
  <si>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</si>
  <si>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</si>
  <si>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</si>
  <si>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</si>
  <si>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</si>
  <si>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</si>
  <si>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</si>
  <si>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</si>
  <si>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</si>
  <si>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</si>
  <si>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</si>
  <si>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</si>
  <si>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</si>
  <si>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</si>
  <si>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</si>
  <si>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</si>
  <si>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</si>
  <si>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</si>
  <si>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</si>
  <si>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</si>
  <si>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</si>
  <si>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</si>
  <si>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</si>
  <si>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</si>
  <si>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</si>
  <si>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</si>
  <si>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</si>
  <si>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</si>
  <si>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</si>
  <si>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</si>
  <si>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2024)</t>
  </si>
  <si>
    <t>Intéressement Net</t>
  </si>
  <si>
    <t>CSG/CRDS Intéressement</t>
  </si>
  <si>
    <t>Frais PEE Amundi</t>
  </si>
  <si>
    <t>Acompte Versé</t>
  </si>
  <si>
    <t>Acompte Remboursé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</si>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</sst>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4" fontId="10" fillId="4" borderId="4" xfId="0" applyNumberFormat="1" applyFont="1" applyFill="1" applyBorder="1"/>
    <xf numFmtId="0" fontId="9" fillId="0" borderId="4" xfId="0" applyFont="1" applyBorder="1" applyProtection="1">
      <protection locked="0"/>
    </xf>
    <xf numFmtId="4" fontId="11" fillId="4" borderId="4" xfId="0" applyNumberFormat="1" applyFon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2"/>
  <sheetViews>
    <sheetView workbookViewId="0">
      <selection activeCell="J26" sqref="J26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9" t="s">
        <v>9</v>
      </c>
    </row>
    <row r="2" spans="2:16" x14ac:dyDescent="0.3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/>
      <c r="D6" s="56"/>
      <c r="E6" s="56"/>
      <c r="F6" s="33"/>
      <c r="G6" s="33"/>
      <c r="H6" s="33"/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114</v>
      </c>
    </row>
    <row r="7" spans="2:16" x14ac:dyDescent="0.35">
      <c r="B7" s="8" t="s">
        <v>20</v>
      </c>
      <c r="C7" s="33"/>
      <c r="D7" s="33"/>
      <c r="E7" s="33"/>
      <c r="F7" s="33"/>
      <c r="G7" s="33"/>
      <c r="H7" s="33"/>
      <c r="I7" s="33">
        <v>18</v>
      </c>
      <c r="J7" s="33">
        <v>21</v>
      </c>
      <c r="K7" s="33">
        <v>21</v>
      </c>
      <c r="L7" s="33">
        <v>21</v>
      </c>
      <c r="M7" s="33">
        <v>18</v>
      </c>
      <c r="N7" s="33">
        <v>18</v>
      </c>
      <c r="O7" s="31"/>
      <c r="P7" s="52">
        <f>SUM(C7:N7)</f>
        <v>117</v>
      </c>
    </row>
    <row r="8" spans="2:16" x14ac:dyDescent="0.3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-1</v>
      </c>
      <c r="J8" s="32">
        <f t="shared" si="0"/>
        <v>2</v>
      </c>
      <c r="K8" s="32">
        <f t="shared" si="0"/>
        <v>2</v>
      </c>
      <c r="L8" s="32">
        <f t="shared" si="0"/>
        <v>2</v>
      </c>
      <c r="M8" s="32">
        <f t="shared" si="0"/>
        <v>-1</v>
      </c>
      <c r="N8" s="32">
        <f t="shared" si="0"/>
        <v>-1</v>
      </c>
      <c r="O8" s="31"/>
      <c r="P8" s="52">
        <f>SUM(C8:N8)</f>
        <v>3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/>
      <c r="D11" s="10"/>
      <c r="E11" s="10"/>
      <c r="F11" s="10"/>
      <c r="G11" s="10"/>
      <c r="H11" s="10"/>
      <c r="I11" s="10">
        <v>18</v>
      </c>
      <c r="J11" s="10">
        <v>21</v>
      </c>
      <c r="K11" s="10">
        <v>21</v>
      </c>
      <c r="L11" s="10">
        <v>21</v>
      </c>
      <c r="M11" s="10">
        <v>18</v>
      </c>
      <c r="N11" s="10">
        <v>18.5</v>
      </c>
      <c r="P11" s="53">
        <f>SUM(C11:N11)</f>
        <v>117.5</v>
      </c>
    </row>
    <row r="12" spans="2:16" x14ac:dyDescent="0.35">
      <c r="B12" s="8" t="s">
        <v>15</v>
      </c>
      <c r="C12" s="11"/>
      <c r="D12" s="11"/>
      <c r="E12" s="11"/>
      <c r="F12" s="11"/>
      <c r="G12" s="11"/>
      <c r="H12" s="11"/>
      <c r="I12" s="11">
        <v>5</v>
      </c>
      <c r="J12" s="11"/>
      <c r="K12" s="11"/>
      <c r="L12" s="11">
        <v>2</v>
      </c>
      <c r="M12" s="11">
        <v>1</v>
      </c>
      <c r="N12" s="11">
        <v>2.5</v>
      </c>
      <c r="P12" s="53">
        <f>SUM(C12:N12)</f>
        <v>10.5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8370.6</v>
      </c>
      <c r="J17" s="9">
        <f>J11*Params!$C$5*(1-Params!$C$3)-Params!$C$4</f>
        <v>9778.2000000000007</v>
      </c>
      <c r="K17" s="9">
        <f>K11*Params!$C$5*(1-Params!$C$3)-Params!$C$4</f>
        <v>9778.2000000000007</v>
      </c>
      <c r="L17" s="9">
        <f>L11*Params!$C$5*(1-Params!$C$3)-Params!$C$4</f>
        <v>9778.2000000000007</v>
      </c>
      <c r="M17" s="9">
        <f>M11*Params!$C$5*(1-Params!$C$3)-Params!$C$4</f>
        <v>8370.6</v>
      </c>
      <c r="N17" s="9">
        <f>N11*Params!$C$5*(1-Params!$C$3)-Params!$C$4</f>
        <v>8605.2000000000007</v>
      </c>
      <c r="O17" s="4"/>
      <c r="P17" s="37">
        <f>SUM(C17:N17)</f>
        <v>54681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8370.6</v>
      </c>
      <c r="J19" s="25">
        <f t="shared" si="1"/>
        <v>9778.2000000000007</v>
      </c>
      <c r="K19" s="25">
        <f t="shared" si="1"/>
        <v>9778.2000000000007</v>
      </c>
      <c r="L19" s="25">
        <f t="shared" si="1"/>
        <v>9778.2000000000007</v>
      </c>
      <c r="M19" s="25">
        <f t="shared" si="1"/>
        <v>8370.6</v>
      </c>
      <c r="N19" s="25">
        <f t="shared" si="1"/>
        <v>8605.2000000000007</v>
      </c>
      <c r="O19" s="5"/>
      <c r="P19" s="38">
        <f>SUM(C19:O19)</f>
        <v>54681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/>
      <c r="D22" s="9"/>
      <c r="E22" s="9"/>
      <c r="F22" s="9"/>
      <c r="G22" s="9"/>
      <c r="H22" s="9"/>
      <c r="I22" s="9">
        <v>4750.66</v>
      </c>
      <c r="J22" s="9">
        <v>4750.66</v>
      </c>
      <c r="K22" s="9">
        <v>4050.66</v>
      </c>
      <c r="L22" s="9">
        <v>4750.66</v>
      </c>
      <c r="M22" s="9">
        <v>4250.66</v>
      </c>
      <c r="N22" s="9">
        <v>4500.66</v>
      </c>
      <c r="O22" s="4"/>
      <c r="P22" s="39">
        <f t="shared" ref="P22:P28" si="2">SUM(C22:N22)</f>
        <v>27053.96</v>
      </c>
    </row>
    <row r="23" spans="2:16" x14ac:dyDescent="0.35">
      <c r="B23" s="8" t="s">
        <v>39</v>
      </c>
      <c r="C23" s="9"/>
      <c r="D23" s="9"/>
      <c r="E23" s="9"/>
      <c r="F23" s="60"/>
      <c r="G23" s="60"/>
      <c r="H23" s="60"/>
      <c r="I23" s="60">
        <f t="shared" ref="I23:N23" si="3">(5461.69/5)*(1-9.7%)</f>
        <v>986.381214</v>
      </c>
      <c r="J23" s="60">
        <f t="shared" si="3"/>
        <v>986.381214</v>
      </c>
      <c r="K23" s="60">
        <f t="shared" si="3"/>
        <v>986.381214</v>
      </c>
      <c r="L23" s="60">
        <f t="shared" si="3"/>
        <v>986.381214</v>
      </c>
      <c r="M23" s="60">
        <f t="shared" si="3"/>
        <v>986.381214</v>
      </c>
      <c r="N23" s="60">
        <f t="shared" si="3"/>
        <v>986.381214</v>
      </c>
      <c r="O23" s="4"/>
      <c r="P23" s="39">
        <f t="shared" si="2"/>
        <v>5918.287284</v>
      </c>
    </row>
    <row r="24" spans="2:16" x14ac:dyDescent="0.35">
      <c r="B24" s="61" t="s">
        <v>40</v>
      </c>
      <c r="C24" s="62"/>
      <c r="D24" s="62"/>
      <c r="E24" s="62"/>
      <c r="F24" s="62"/>
      <c r="G24" s="62"/>
      <c r="H24" s="62"/>
      <c r="I24" s="62">
        <f t="shared" ref="I24:N24" si="4">(5461.69/5)*9.7%</f>
        <v>105.95678599999998</v>
      </c>
      <c r="J24" s="62">
        <f t="shared" si="4"/>
        <v>105.95678599999998</v>
      </c>
      <c r="K24" s="62">
        <f t="shared" si="4"/>
        <v>105.95678599999998</v>
      </c>
      <c r="L24" s="62">
        <f t="shared" si="4"/>
        <v>105.95678599999998</v>
      </c>
      <c r="M24" s="62">
        <f t="shared" si="4"/>
        <v>105.95678599999998</v>
      </c>
      <c r="N24" s="62">
        <f t="shared" si="4"/>
        <v>105.95678599999998</v>
      </c>
      <c r="O24" s="4"/>
      <c r="P24" s="39">
        <f t="shared" si="2"/>
        <v>635.74071599999991</v>
      </c>
    </row>
    <row r="25" spans="2:16" x14ac:dyDescent="0.35">
      <c r="B25" s="61" t="s">
        <v>41</v>
      </c>
      <c r="C25" s="62"/>
      <c r="D25" s="62"/>
      <c r="E25" s="62"/>
      <c r="F25" s="62"/>
      <c r="G25" s="62"/>
      <c r="H25" s="62"/>
      <c r="I25" s="62">
        <f t="shared" ref="I25:N25" si="5">(I23)*0.02</f>
        <v>19.727624280000001</v>
      </c>
      <c r="J25" s="62">
        <f t="shared" si="5"/>
        <v>19.727624280000001</v>
      </c>
      <c r="K25" s="62">
        <f t="shared" si="5"/>
        <v>19.727624280000001</v>
      </c>
      <c r="L25" s="62">
        <f t="shared" si="5"/>
        <v>19.727624280000001</v>
      </c>
      <c r="M25" s="62">
        <f t="shared" si="5"/>
        <v>19.727624280000001</v>
      </c>
      <c r="N25" s="62">
        <f t="shared" si="5"/>
        <v>19.727624280000001</v>
      </c>
      <c r="O25" s="4"/>
      <c r="P25" s="39">
        <f t="shared" si="2"/>
        <v>118.36574568</v>
      </c>
    </row>
    <row r="26" spans="2:16" x14ac:dyDescent="0.35">
      <c r="B26" s="8" t="s">
        <v>8</v>
      </c>
      <c r="C26" s="9"/>
      <c r="D26" s="9"/>
      <c r="E26" s="9"/>
      <c r="F26" s="9"/>
      <c r="G26" s="9"/>
      <c r="H26" s="9"/>
      <c r="I26" s="9">
        <f>1027.43+1944.82</f>
        <v>2972.25</v>
      </c>
      <c r="J26" s="9">
        <f>1027.43+1957.96</f>
        <v>2985.3900000000003</v>
      </c>
      <c r="K26" s="9">
        <f>1027.43+1944.82</f>
        <v>2972.25</v>
      </c>
      <c r="L26" s="9">
        <f>1027.43+1944.82</f>
        <v>2972.25</v>
      </c>
      <c r="M26" s="9">
        <f>1027.43+1950.07</f>
        <v>2977.5</v>
      </c>
      <c r="N26" s="9">
        <f>1027.43+1947.46</f>
        <v>2974.8900000000003</v>
      </c>
      <c r="O26" s="4"/>
      <c r="P26" s="39">
        <f t="shared" si="2"/>
        <v>17854.53</v>
      </c>
    </row>
    <row r="27" spans="2:16" x14ac:dyDescent="0.35">
      <c r="B27" s="63" t="s">
        <v>42</v>
      </c>
      <c r="C27" s="64"/>
      <c r="D27" s="64"/>
      <c r="E27" s="64"/>
      <c r="F27" s="64"/>
      <c r="G27" s="64"/>
      <c r="H27" s="64"/>
      <c r="I27" s="64"/>
      <c r="J27" s="64">
        <v>700</v>
      </c>
      <c r="K27" s="64"/>
      <c r="L27" s="64"/>
      <c r="M27" s="64">
        <v>500</v>
      </c>
      <c r="N27" s="64">
        <v>500</v>
      </c>
      <c r="O27" s="4"/>
      <c r="P27" s="39">
        <f t="shared" si="2"/>
        <v>1700</v>
      </c>
    </row>
    <row r="28" spans="2:16" x14ac:dyDescent="0.35">
      <c r="B28" s="7" t="s">
        <v>3</v>
      </c>
      <c r="C28" s="40">
        <f t="shared" ref="C28:I28" si="6">SUM(C22:C26)</f>
        <v>0</v>
      </c>
      <c r="D28" s="40">
        <f t="shared" si="6"/>
        <v>0</v>
      </c>
      <c r="E28" s="40">
        <f t="shared" si="6"/>
        <v>0</v>
      </c>
      <c r="F28" s="40">
        <f t="shared" si="6"/>
        <v>0</v>
      </c>
      <c r="G28" s="40">
        <f t="shared" si="6"/>
        <v>0</v>
      </c>
      <c r="H28" s="40">
        <f t="shared" si="6"/>
        <v>0</v>
      </c>
      <c r="I28" s="40">
        <f t="shared" si="6"/>
        <v>8834.9756242799995</v>
      </c>
      <c r="J28" s="40">
        <f>SUM(J22:J27)</f>
        <v>9548.1156242799989</v>
      </c>
      <c r="K28" s="40">
        <f>SUM(K22:K27)</f>
        <v>8134.9756242799995</v>
      </c>
      <c r="L28" s="40">
        <f>SUM(L22:L27)</f>
        <v>8834.9756242799995</v>
      </c>
      <c r="M28" s="40">
        <f>SUM(M22:M27)</f>
        <v>8840.2256242799995</v>
      </c>
      <c r="N28" s="40">
        <f>SUM(N22:N27)</f>
        <v>9087.6156242799989</v>
      </c>
      <c r="O28" s="4"/>
      <c r="P28" s="41">
        <f t="shared" si="2"/>
        <v>53280.883745679996</v>
      </c>
    </row>
    <row r="29" spans="2:16" x14ac:dyDescent="0.35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5">
      <c r="B30" s="65" t="s">
        <v>43</v>
      </c>
      <c r="C30" s="66"/>
      <c r="D30" s="66"/>
      <c r="E30" s="66"/>
      <c r="F30" s="66"/>
      <c r="G30" s="66"/>
      <c r="H30" s="66"/>
      <c r="I30" s="66"/>
      <c r="J30" s="66"/>
      <c r="K30" s="66">
        <v>700</v>
      </c>
      <c r="L30" s="66"/>
      <c r="M30" s="66">
        <v>500</v>
      </c>
      <c r="N30" s="67">
        <v>250</v>
      </c>
      <c r="P30" s="68">
        <f>SUM(C30:N30)</f>
        <v>1450</v>
      </c>
    </row>
    <row r="32" spans="2:16" x14ac:dyDescent="0.35">
      <c r="B32" s="43" t="s">
        <v>25</v>
      </c>
      <c r="C32" s="44">
        <f t="shared" ref="C32:N32" si="7">C19-C28</f>
        <v>0</v>
      </c>
      <c r="D32" s="44">
        <f t="shared" si="7"/>
        <v>0</v>
      </c>
      <c r="E32" s="44">
        <f t="shared" si="7"/>
        <v>0</v>
      </c>
      <c r="F32" s="44">
        <f t="shared" si="7"/>
        <v>0</v>
      </c>
      <c r="G32" s="44">
        <f t="shared" si="7"/>
        <v>0</v>
      </c>
      <c r="H32" s="44">
        <f t="shared" si="7"/>
        <v>0</v>
      </c>
      <c r="I32" s="44">
        <f t="shared" si="7"/>
        <v>-464.3756242799991</v>
      </c>
      <c r="J32" s="44">
        <f t="shared" si="7"/>
        <v>230.08437572000184</v>
      </c>
      <c r="K32" s="44">
        <f t="shared" si="7"/>
        <v>1643.2243757200013</v>
      </c>
      <c r="L32" s="44">
        <f t="shared" si="7"/>
        <v>943.22437572000126</v>
      </c>
      <c r="M32" s="44">
        <f t="shared" si="7"/>
        <v>-469.6256242799991</v>
      </c>
      <c r="N32" s="44">
        <f t="shared" si="7"/>
        <v>-482.41562427999816</v>
      </c>
      <c r="P32" s="54">
        <f>SUM(C32:O32)</f>
        <v>1400.116254320008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"/>
  <sheetViews>
    <sheetView tabSelected="1" topLeftCell="A21" workbookViewId="0">
      <selection activeCell="I24" sqref="I24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9" t="s">
        <v>9</v>
      </c>
    </row>
    <row r="2" spans="2:16" x14ac:dyDescent="0.3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/>
      <c r="K6" s="33"/>
      <c r="L6" s="33"/>
      <c r="M6" s="33"/>
      <c r="N6" s="33"/>
      <c r="O6" s="31"/>
      <c r="P6" s="52">
        <f>SUM(C6:N6)</f>
        <v>133</v>
      </c>
    </row>
    <row r="7" spans="2:16" x14ac:dyDescent="0.35">
      <c r="B7" s="8" t="s">
        <v>20</v>
      </c>
      <c r="C7" s="33">
        <v>20</v>
      </c>
      <c r="D7" s="33">
        <v>19</v>
      </c>
      <c r="E7" s="33">
        <v>18</v>
      </c>
      <c r="F7" s="33">
        <v>21</v>
      </c>
      <c r="G7" s="33">
        <v>16</v>
      </c>
      <c r="H7" s="33">
        <v>18</v>
      </c>
      <c r="I7" s="33">
        <v>12</v>
      </c>
      <c r="J7" s="33"/>
      <c r="K7" s="33"/>
      <c r="L7" s="33"/>
      <c r="M7" s="33"/>
      <c r="N7" s="33"/>
      <c r="O7" s="31"/>
      <c r="P7" s="52">
        <f>SUM(C7:N7)</f>
        <v>124</v>
      </c>
    </row>
    <row r="8" spans="2:16" x14ac:dyDescent="0.35">
      <c r="B8" s="16" t="s">
        <v>21</v>
      </c>
      <c r="C8" s="32">
        <f t="shared" ref="C8:N8" si="0">C7-C6</f>
        <v>1</v>
      </c>
      <c r="D8" s="32">
        <f t="shared" si="0"/>
        <v>0</v>
      </c>
      <c r="E8" s="32">
        <f t="shared" si="0"/>
        <v>-1</v>
      </c>
      <c r="F8" s="32">
        <f t="shared" si="0"/>
        <v>2</v>
      </c>
      <c r="G8" s="32">
        <f t="shared" si="0"/>
        <v>-3</v>
      </c>
      <c r="H8" s="32">
        <f t="shared" si="0"/>
        <v>-1</v>
      </c>
      <c r="I8" s="32">
        <f t="shared" si="0"/>
        <v>-7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-9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20</v>
      </c>
      <c r="D11" s="10">
        <v>19</v>
      </c>
      <c r="E11" s="10">
        <v>17.5</v>
      </c>
      <c r="F11" s="10">
        <v>21</v>
      </c>
      <c r="G11" s="10">
        <v>16</v>
      </c>
      <c r="H11" s="10">
        <v>18</v>
      </c>
      <c r="I11" s="10">
        <v>12</v>
      </c>
      <c r="J11" s="10"/>
      <c r="K11" s="10"/>
      <c r="L11" s="10"/>
      <c r="M11" s="10"/>
      <c r="N11" s="10"/>
      <c r="P11" s="53">
        <f>SUM(C11:N11)</f>
        <v>123.5</v>
      </c>
    </row>
    <row r="12" spans="2:16" x14ac:dyDescent="0.35">
      <c r="B12" s="8" t="s">
        <v>15</v>
      </c>
      <c r="C12" s="11">
        <v>2</v>
      </c>
      <c r="D12" s="11">
        <v>1</v>
      </c>
      <c r="E12" s="11">
        <v>3.5</v>
      </c>
      <c r="F12" s="11"/>
      <c r="G12" s="11">
        <v>3</v>
      </c>
      <c r="H12" s="11"/>
      <c r="I12" s="11">
        <v>10</v>
      </c>
      <c r="J12" s="11"/>
      <c r="K12" s="11"/>
      <c r="L12" s="11"/>
      <c r="M12" s="11"/>
      <c r="N12" s="11"/>
      <c r="P12" s="53">
        <f>SUM(C12:N12)</f>
        <v>19.5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>
        <v>2</v>
      </c>
      <c r="I13" s="11"/>
      <c r="J13" s="11"/>
      <c r="K13" s="11"/>
      <c r="L13" s="11"/>
      <c r="M13" s="11"/>
      <c r="N13" s="11"/>
      <c r="P13" s="53">
        <f>SUM(C13:N13)</f>
        <v>2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9309</v>
      </c>
      <c r="D17" s="9">
        <f>D11*Params!$C$5*(1-Params!$C$3)-Params!$C$4</f>
        <v>8839.8000000000011</v>
      </c>
      <c r="E17" s="9">
        <f>E11*Params!$C$5*(1-Params!$C$3)-Params!$C$4</f>
        <v>8136</v>
      </c>
      <c r="F17" s="9">
        <f>F11*Params!$C$5*(1-Params!$C$3)-Params!$C$4</f>
        <v>9778.2000000000007</v>
      </c>
      <c r="G17" s="9">
        <f>G11*Params!$C$5*(1-Params!$C$3)-Params!$C$4</f>
        <v>7432.2000000000007</v>
      </c>
      <c r="H17" s="9">
        <f>H11*Params!$C$5*(1-Params!$C$3)-Params!$C$4</f>
        <v>8370.6</v>
      </c>
      <c r="I17" s="9">
        <f>I11*Params!$C$5*(1-Params!$C$3)-Params!$C$4</f>
        <v>5555.4000000000005</v>
      </c>
      <c r="J17" s="9"/>
      <c r="K17" s="9"/>
      <c r="L17" s="9"/>
      <c r="M17" s="9"/>
      <c r="N17" s="9"/>
      <c r="O17" s="4"/>
      <c r="P17" s="37">
        <f>SUM(C17:N17)</f>
        <v>57421.2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9309</v>
      </c>
      <c r="D19" s="25">
        <f t="shared" si="1"/>
        <v>8839.8000000000011</v>
      </c>
      <c r="E19" s="25">
        <f t="shared" si="1"/>
        <v>8136</v>
      </c>
      <c r="F19" s="25">
        <f t="shared" si="1"/>
        <v>9778.2000000000007</v>
      </c>
      <c r="G19" s="25">
        <f t="shared" si="1"/>
        <v>7432.2000000000007</v>
      </c>
      <c r="H19" s="25">
        <f t="shared" si="1"/>
        <v>8370.6</v>
      </c>
      <c r="I19" s="25">
        <f t="shared" si="1"/>
        <v>5555.4000000000005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57421.2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5488.12</v>
      </c>
      <c r="D22" s="9">
        <v>5738.12</v>
      </c>
      <c r="E22" s="9">
        <v>5738.12</v>
      </c>
      <c r="F22" s="9">
        <v>5638.12</v>
      </c>
      <c r="G22" s="9">
        <v>5738.12</v>
      </c>
      <c r="H22" s="9">
        <v>5250.55</v>
      </c>
      <c r="I22" s="9">
        <v>5738.12</v>
      </c>
      <c r="J22" s="9"/>
      <c r="K22" s="9"/>
      <c r="L22" s="9"/>
      <c r="M22" s="9"/>
      <c r="N22" s="9"/>
      <c r="O22" s="4"/>
      <c r="P22" s="39">
        <f>SUM(C22:N22)</f>
        <v>39329.270000000004</v>
      </c>
    </row>
    <row r="23" spans="2:16" x14ac:dyDescent="0.35">
      <c r="B23" s="8" t="s">
        <v>8</v>
      </c>
      <c r="C23" s="9">
        <f>1139.27+ 2285.41</f>
        <v>3424.68</v>
      </c>
      <c r="D23" s="9">
        <f>1139.27+ 2284.09</f>
        <v>3423.36</v>
      </c>
      <c r="E23" s="9">
        <f>1139.27+2281.48</f>
        <v>3420.75</v>
      </c>
      <c r="F23" s="9">
        <f>1139.27+2288.05</f>
        <v>3427.32</v>
      </c>
      <c r="G23" s="9">
        <f>1139.27+2278.84</f>
        <v>3418.11</v>
      </c>
      <c r="H23" s="9">
        <f>1042.58+2089.03</f>
        <v>3131.61</v>
      </c>
      <c r="I23" s="9">
        <f>1139.27+2278.84</f>
        <v>3418.11</v>
      </c>
      <c r="J23" s="9"/>
      <c r="K23" s="9"/>
      <c r="L23" s="9"/>
      <c r="M23" s="9"/>
      <c r="N23" s="9"/>
      <c r="O23" s="4"/>
      <c r="P23" s="39">
        <f>SUM(C23:N23)</f>
        <v>23663.940000000002</v>
      </c>
    </row>
    <row r="24" spans="2:16" x14ac:dyDescent="0.35">
      <c r="B24" s="8" t="s">
        <v>42</v>
      </c>
      <c r="C24" s="9"/>
      <c r="D24" s="9"/>
      <c r="E24" s="9"/>
      <c r="F24" s="9">
        <v>100</v>
      </c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100</v>
      </c>
    </row>
    <row r="25" spans="2:16" x14ac:dyDescent="0.35">
      <c r="B25" s="7" t="s">
        <v>3</v>
      </c>
      <c r="C25" s="40">
        <f t="shared" ref="C25:N25" si="2">SUM(C22:C24)</f>
        <v>8912.7999999999993</v>
      </c>
      <c r="D25" s="40">
        <f t="shared" si="2"/>
        <v>9161.48</v>
      </c>
      <c r="E25" s="40">
        <f t="shared" si="2"/>
        <v>9158.869999999999</v>
      </c>
      <c r="F25" s="40">
        <f t="shared" si="2"/>
        <v>9165.44</v>
      </c>
      <c r="G25" s="40">
        <f t="shared" si="2"/>
        <v>9156.23</v>
      </c>
      <c r="H25" s="40">
        <f t="shared" si="2"/>
        <v>8382.16</v>
      </c>
      <c r="I25" s="40">
        <f t="shared" si="2"/>
        <v>9156.23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63093.209999999992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65" t="s">
        <v>43</v>
      </c>
      <c r="C27" s="66">
        <v>250</v>
      </c>
      <c r="D27" s="66"/>
      <c r="E27" s="66"/>
      <c r="F27" s="66">
        <v>100</v>
      </c>
      <c r="G27" s="66"/>
      <c r="H27" s="66"/>
      <c r="I27" s="66"/>
      <c r="J27" s="66"/>
      <c r="K27" s="66"/>
      <c r="L27" s="66"/>
      <c r="M27" s="66"/>
      <c r="N27" s="67"/>
      <c r="P27" s="68">
        <f>SUM(C27:N27)</f>
        <v>350</v>
      </c>
    </row>
    <row r="29" spans="2:16" x14ac:dyDescent="0.35">
      <c r="B29" s="43" t="s">
        <v>25</v>
      </c>
      <c r="C29" s="44">
        <f t="shared" ref="C29:N29" si="3">C19-C25</f>
        <v>396.20000000000073</v>
      </c>
      <c r="D29" s="44">
        <f t="shared" si="3"/>
        <v>-321.67999999999847</v>
      </c>
      <c r="E29" s="44">
        <f t="shared" si="3"/>
        <v>-1022.869999999999</v>
      </c>
      <c r="F29" s="44">
        <f t="shared" si="3"/>
        <v>612.76000000000022</v>
      </c>
      <c r="G29" s="44">
        <f t="shared" si="3"/>
        <v>-1724.0299999999988</v>
      </c>
      <c r="H29" s="44">
        <f t="shared" si="3"/>
        <v>-11.559999999999491</v>
      </c>
      <c r="I29" s="44">
        <f t="shared" si="3"/>
        <v>-3600.829999999999</v>
      </c>
      <c r="J29" s="44">
        <f t="shared" si="3"/>
        <v>0</v>
      </c>
      <c r="K29" s="44">
        <f t="shared" si="3"/>
        <v>0</v>
      </c>
      <c r="L29" s="44">
        <f t="shared" si="3"/>
        <v>0</v>
      </c>
      <c r="M29" s="44">
        <f t="shared" si="3"/>
        <v>0</v>
      </c>
      <c r="N29" s="44">
        <f t="shared" si="3"/>
        <v>0</v>
      </c>
      <c r="P29" s="54">
        <f>SUM(C29:O29)</f>
        <v>-5672.0099999999939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36" sqref="B3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71" t="s">
        <v>22</v>
      </c>
      <c r="C2" s="72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510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73" t="s">
        <v>23</v>
      </c>
      <c r="C2" s="73"/>
    </row>
    <row r="3" spans="2:3" ht="17" customHeight="1" x14ac:dyDescent="0.35">
      <c r="B3" s="34" t="s">
        <v>24</v>
      </c>
      <c r="C3" s="35">
        <f>'2024'!P32+'2025'!P29</f>
        <v>-4271.8937456799858</v>
      </c>
    </row>
    <row r="4" spans="2:3" ht="17" customHeight="1" x14ac:dyDescent="0.35">
      <c r="B4" s="34" t="s">
        <v>26</v>
      </c>
      <c r="C4" s="36">
        <f>SUM('2024'!P12)+'2025'!P12</f>
        <v>30</v>
      </c>
    </row>
    <row r="5" spans="2:3" x14ac:dyDescent="0.35">
      <c r="B5" t="s">
        <v>44</v>
      </c>
      <c r="C5">
        <f>(13*2.08)-C4</f>
        <v>-2.9600000000000009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2025-07-24T14:51:26Z</dcterms:modified>
</cp:coreProperties>
</file>