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37677323-DB45-46CA-AAAA-347E162FFD52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2" sheetId="12" r:id="rId1"/>
    <sheet name="2023" sheetId="14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'2024'!$B$33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'2024'!$B$31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31" i="17" l="1"/>
  <c r="I26" i="17"/>
  <c r="I25" i="17"/>
  <c r="I27" i="17" s="1"/>
  <c r="I28" i="17"/>
  <c r="I18" i="17"/>
  <c r="P29" i="17" l="1"/>
  <c r="P24" i="17"/>
  <c r="H28" i="17" l="1"/>
  <c r="P28" i="17" s="1"/>
  <c r="H26" i="17"/>
  <c r="P26" i="17" s="1"/>
  <c r="H25" i="17"/>
  <c r="H18" i="17"/>
  <c r="P18" i="17" s="1"/>
  <c r="P19" i="17"/>
  <c r="P20" i="17"/>
  <c r="P12" i="17"/>
  <c r="C4" i="13" s="1"/>
  <c r="C5" i="13" s="1"/>
  <c r="P13" i="17"/>
  <c r="P14" i="17"/>
  <c r="P15" i="17"/>
  <c r="P11" i="17"/>
  <c r="P7" i="17"/>
  <c r="P6" i="17"/>
  <c r="H27" i="17" l="1"/>
  <c r="P27" i="17" s="1"/>
  <c r="P25" i="17"/>
  <c r="C28" i="17"/>
  <c r="H31" i="17" l="1"/>
  <c r="P30" i="16"/>
  <c r="N31" i="17" l="1"/>
  <c r="M31" i="17"/>
  <c r="L31" i="17"/>
  <c r="K31" i="17"/>
  <c r="J31" i="17"/>
  <c r="E31" i="17"/>
  <c r="C31" i="17"/>
  <c r="F21" i="17"/>
  <c r="D21" i="17"/>
  <c r="N21" i="17"/>
  <c r="M21" i="17"/>
  <c r="L21" i="17"/>
  <c r="K21" i="17"/>
  <c r="J21" i="17"/>
  <c r="I21" i="17"/>
  <c r="H21" i="17"/>
  <c r="G21" i="17"/>
  <c r="E21" i="17"/>
  <c r="C18" i="17"/>
  <c r="N8" i="17"/>
  <c r="M8" i="17"/>
  <c r="L8" i="17"/>
  <c r="K8" i="17"/>
  <c r="J8" i="17"/>
  <c r="I8" i="17"/>
  <c r="H8" i="17"/>
  <c r="G8" i="17"/>
  <c r="F8" i="17"/>
  <c r="E8" i="17"/>
  <c r="D8" i="17"/>
  <c r="C8" i="17"/>
  <c r="P31" i="17" l="1"/>
  <c r="I33" i="17"/>
  <c r="P8" i="17"/>
  <c r="P21" i="17"/>
  <c r="L33" i="17"/>
  <c r="K33" i="17"/>
  <c r="J33" i="17"/>
  <c r="E33" i="17"/>
  <c r="M33" i="17"/>
  <c r="N33" i="17"/>
  <c r="D31" i="17"/>
  <c r="C21" i="17"/>
  <c r="F31" i="17"/>
  <c r="F33" i="17" s="1"/>
  <c r="G31" i="17"/>
  <c r="G33" i="17" s="1"/>
  <c r="H33" i="17"/>
  <c r="K29" i="16"/>
  <c r="J29" i="16"/>
  <c r="N28" i="16"/>
  <c r="N31" i="16" s="1"/>
  <c r="M28" i="16"/>
  <c r="M31" i="16" s="1"/>
  <c r="L28" i="16"/>
  <c r="L31" i="16" s="1"/>
  <c r="K28" i="16"/>
  <c r="J28" i="16"/>
  <c r="J31" i="16" s="1"/>
  <c r="I28" i="16"/>
  <c r="I31" i="16" s="1"/>
  <c r="H28" i="16"/>
  <c r="G28" i="16"/>
  <c r="F28" i="16"/>
  <c r="E28" i="16"/>
  <c r="D28" i="16"/>
  <c r="C28" i="16"/>
  <c r="H26" i="16"/>
  <c r="G26" i="16"/>
  <c r="F26" i="16"/>
  <c r="E26" i="16"/>
  <c r="D26" i="16"/>
  <c r="C26" i="16"/>
  <c r="H25" i="16"/>
  <c r="G25" i="16"/>
  <c r="F25" i="16"/>
  <c r="E25" i="16"/>
  <c r="D25" i="16"/>
  <c r="C25" i="16"/>
  <c r="P24" i="16"/>
  <c r="P20" i="16"/>
  <c r="P19" i="16"/>
  <c r="N18" i="16"/>
  <c r="N21" i="16" s="1"/>
  <c r="M18" i="16"/>
  <c r="L18" i="16"/>
  <c r="L21" i="16" s="1"/>
  <c r="K18" i="16"/>
  <c r="K21" i="16" s="1"/>
  <c r="J18" i="16"/>
  <c r="I18" i="16"/>
  <c r="H18" i="16"/>
  <c r="H21" i="16" s="1"/>
  <c r="G18" i="16"/>
  <c r="F18" i="16"/>
  <c r="F21" i="16" s="1"/>
  <c r="E18" i="16"/>
  <c r="E21" i="16" s="1"/>
  <c r="D18" i="16"/>
  <c r="D21" i="16" s="1"/>
  <c r="C18" i="16"/>
  <c r="C21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4"/>
  <c r="N28" i="14"/>
  <c r="M28" i="14"/>
  <c r="L28" i="14"/>
  <c r="K28" i="14"/>
  <c r="J28" i="14"/>
  <c r="I28" i="14"/>
  <c r="H28" i="14"/>
  <c r="H30" i="14" s="1"/>
  <c r="G28" i="14"/>
  <c r="G30" i="14" s="1"/>
  <c r="F28" i="14"/>
  <c r="F30" i="14" s="1"/>
  <c r="E28" i="14"/>
  <c r="E30" i="14" s="1"/>
  <c r="D28" i="14"/>
  <c r="D30" i="14" s="1"/>
  <c r="C28" i="14"/>
  <c r="C30" i="14" s="1"/>
  <c r="N26" i="14"/>
  <c r="M26" i="14"/>
  <c r="L26" i="14"/>
  <c r="K26" i="14"/>
  <c r="J26" i="14"/>
  <c r="I26" i="14"/>
  <c r="N25" i="14"/>
  <c r="M25" i="14"/>
  <c r="L25" i="14"/>
  <c r="K25" i="14"/>
  <c r="J25" i="14"/>
  <c r="I25" i="14"/>
  <c r="P24" i="14"/>
  <c r="P20" i="14"/>
  <c r="P19" i="14"/>
  <c r="N18" i="14"/>
  <c r="N21" i="14" s="1"/>
  <c r="M18" i="14"/>
  <c r="L18" i="14"/>
  <c r="L21" i="14" s="1"/>
  <c r="K18" i="14"/>
  <c r="J18" i="14"/>
  <c r="J21" i="14" s="1"/>
  <c r="I18" i="14"/>
  <c r="I21" i="14" s="1"/>
  <c r="H18" i="14"/>
  <c r="G18" i="14"/>
  <c r="F18" i="14"/>
  <c r="F21" i="14" s="1"/>
  <c r="E18" i="14"/>
  <c r="D18" i="14"/>
  <c r="C18" i="14"/>
  <c r="C21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24" i="12"/>
  <c r="K24" i="12"/>
  <c r="J24" i="12"/>
  <c r="I24" i="12"/>
  <c r="H24" i="12"/>
  <c r="G24" i="12"/>
  <c r="F24" i="12"/>
  <c r="E24" i="12"/>
  <c r="D24" i="12"/>
  <c r="C24" i="12"/>
  <c r="N23" i="12"/>
  <c r="N24" i="12" s="1"/>
  <c r="N26" i="12" s="1"/>
  <c r="M23" i="12"/>
  <c r="M24" i="12" s="1"/>
  <c r="P22" i="12"/>
  <c r="N19" i="12"/>
  <c r="M19" i="12"/>
  <c r="L19" i="12"/>
  <c r="L26" i="12" s="1"/>
  <c r="K19" i="12"/>
  <c r="J19" i="12"/>
  <c r="I19" i="12"/>
  <c r="I26" i="12" s="1"/>
  <c r="H19" i="12"/>
  <c r="H26" i="12" s="1"/>
  <c r="G19" i="12"/>
  <c r="F19" i="12"/>
  <c r="F26" i="12" s="1"/>
  <c r="E19" i="12"/>
  <c r="D19" i="12"/>
  <c r="D26" i="12" s="1"/>
  <c r="C19" i="12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J26" i="12" l="1"/>
  <c r="C26" i="12"/>
  <c r="K26" i="12"/>
  <c r="F32" i="14"/>
  <c r="P8" i="14"/>
  <c r="P26" i="14"/>
  <c r="G26" i="12"/>
  <c r="M26" i="12"/>
  <c r="P33" i="17"/>
  <c r="C3" i="13" s="1"/>
  <c r="M21" i="16"/>
  <c r="M33" i="16" s="1"/>
  <c r="K21" i="14"/>
  <c r="D31" i="16"/>
  <c r="P28" i="16"/>
  <c r="P29" i="16"/>
  <c r="P23" i="12"/>
  <c r="G27" i="16"/>
  <c r="G31" i="16" s="1"/>
  <c r="D21" i="14"/>
  <c r="D32" i="14" s="1"/>
  <c r="E32" i="14"/>
  <c r="E21" i="14"/>
  <c r="G21" i="14"/>
  <c r="G32" i="14" s="1"/>
  <c r="G21" i="16"/>
  <c r="K31" i="16"/>
  <c r="M21" i="14"/>
  <c r="M32" i="14" s="1"/>
  <c r="P24" i="12"/>
  <c r="H21" i="14"/>
  <c r="H32" i="14" s="1"/>
  <c r="M27" i="14"/>
  <c r="M30" i="14" s="1"/>
  <c r="P26" i="16"/>
  <c r="P8" i="12"/>
  <c r="E26" i="12"/>
  <c r="P26" i="12" s="1"/>
  <c r="N27" i="14"/>
  <c r="N30" i="14"/>
  <c r="N32" i="14" s="1"/>
  <c r="J27" i="14"/>
  <c r="J30" i="14" s="1"/>
  <c r="J32" i="14" s="1"/>
  <c r="I33" i="16"/>
  <c r="I21" i="16"/>
  <c r="K27" i="14"/>
  <c r="K30" i="14" s="1"/>
  <c r="P8" i="16"/>
  <c r="J21" i="16"/>
  <c r="J33" i="16" s="1"/>
  <c r="D33" i="17"/>
  <c r="C33" i="17"/>
  <c r="K33" i="16"/>
  <c r="L33" i="16"/>
  <c r="C32" i="14"/>
  <c r="P21" i="14"/>
  <c r="P25" i="14"/>
  <c r="I27" i="14"/>
  <c r="H27" i="16"/>
  <c r="H31" i="16" s="1"/>
  <c r="P18" i="14"/>
  <c r="N33" i="16"/>
  <c r="P25" i="16"/>
  <c r="P18" i="16"/>
  <c r="L27" i="14"/>
  <c r="L30" i="14" s="1"/>
  <c r="L32" i="14" s="1"/>
  <c r="P28" i="14"/>
  <c r="C27" i="16"/>
  <c r="C31" i="16" s="1"/>
  <c r="P19" i="12"/>
  <c r="D27" i="16"/>
  <c r="E27" i="16"/>
  <c r="E31" i="16" s="1"/>
  <c r="E33" i="16" s="1"/>
  <c r="F27" i="16"/>
  <c r="P21" i="16" l="1"/>
  <c r="K32" i="14"/>
  <c r="G33" i="16"/>
  <c r="D33" i="16"/>
  <c r="H33" i="16"/>
  <c r="P27" i="14"/>
  <c r="I30" i="14"/>
  <c r="F31" i="16"/>
  <c r="F33" i="16" s="1"/>
  <c r="P27" i="16"/>
  <c r="P30" i="14" l="1"/>
  <c r="I32" i="14"/>
  <c r="P32" i="14" s="1"/>
  <c r="P31" i="16"/>
  <c r="C33" i="16"/>
  <c r="P3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I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Astreinte dans la cagnotte</t>
        </r>
      </text>
    </comment>
    <comment ref="J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K1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<sst xmlns="http://schemas.openxmlformats.org/spreadsheetml/2006/main" count="161" uniqueCount="50">
  <si>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</si>
  <si>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</si>
  <si>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</si>
  <si>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</si>
  <si>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</si>
  <si>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</si>
  <si>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</si>
  <si>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</si>
  <si>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</si>
  <si>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</si>
  <si>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</si>
  <si>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</si>
  <si>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</si>
  <si>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</si>
  <si>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</si>
  <si>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</si>
  <si>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</si>
  <si>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</si>
  <si>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</si>
  <si>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</si>
  <si>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</si>
  <si>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</si>
  <si>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</si>
  <si>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</si>
  <si>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</si>
  <si>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</si>
  <si>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</si>
  <si>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</si>
  <si>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</si>
  <si>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</si>
  <si>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</si>
  <si>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</si>
  <si>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</si>
  <si>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</si>
  <si>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</si>
  <si>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</si>
  <si>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</si>
  <si>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</si>
  <si>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</si>
  <si>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</si>
  <si>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</si>
  <si>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</si>
  <si>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</si>
  <si>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</si>
  <si>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</si>
  <si>
    <t>Acompte versé</t>
  </si>
  <si>
    <t>TJM (Juin 2025)</t>
  </si>
  <si>
    <t>avance</t>
  </si>
  <si>
    <t>Solde congé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</si>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</sst>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0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1" fillId="11" borderId="1" xfId="0" applyFont="1" applyFill="1" applyBorder="1"/>
    <xf numFmtId="4" fontId="0" fillId="11" borderId="1" xfId="0" applyNumberFormat="1" applyFill="1" applyBorder="1"/>
    <xf numFmtId="0" fontId="0" fillId="11" borderId="0" xfId="0" applyFill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H36" sqref="H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57">
        <v>6</v>
      </c>
      <c r="N6" s="57">
        <v>19</v>
      </c>
      <c r="O6" s="36"/>
      <c r="P6" s="53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57">
        <v>6</v>
      </c>
      <c r="N7" s="57">
        <v>22</v>
      </c>
      <c r="O7" s="36"/>
      <c r="P7" s="53">
        <f>SUM(C7:N7)</f>
        <v>28</v>
      </c>
    </row>
    <row r="8" spans="2:16" x14ac:dyDescent="0.3">
      <c r="B8" s="18" t="s">
        <v>22</v>
      </c>
      <c r="C8" s="56">
        <f t="shared" ref="C8:N8" si="0">C7-C6</f>
        <v>0</v>
      </c>
      <c r="D8" s="56">
        <f t="shared" si="0"/>
        <v>0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3</v>
      </c>
      <c r="O8" s="36"/>
      <c r="P8" s="53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58">
        <v>6</v>
      </c>
      <c r="N11" s="58">
        <v>22</v>
      </c>
      <c r="P11" s="54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4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4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49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0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9">
        <v>2795.4</v>
      </c>
      <c r="N17" s="59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1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59">
        <v>1630.76</v>
      </c>
      <c r="N22" s="59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59">
        <f>304.57+621.76</f>
        <v>926.32999999999993</v>
      </c>
      <c r="N23" s="59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5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65" t="s">
        <v>36</v>
      </c>
      <c r="C26" s="66">
        <f t="shared" ref="C26:N26" si="3">C19-C24</f>
        <v>0</v>
      </c>
      <c r="D26" s="66">
        <f t="shared" si="3"/>
        <v>0</v>
      </c>
      <c r="E26" s="66">
        <f t="shared" si="3"/>
        <v>0</v>
      </c>
      <c r="F26" s="66">
        <f t="shared" si="3"/>
        <v>0</v>
      </c>
      <c r="G26" s="66">
        <f t="shared" si="3"/>
        <v>0</v>
      </c>
      <c r="H26" s="66">
        <f t="shared" si="3"/>
        <v>0</v>
      </c>
      <c r="I26" s="66">
        <f t="shared" si="3"/>
        <v>0</v>
      </c>
      <c r="J26" s="66">
        <f t="shared" si="3"/>
        <v>0</v>
      </c>
      <c r="K26" s="66">
        <f t="shared" si="3"/>
        <v>0</v>
      </c>
      <c r="L26" s="66">
        <f t="shared" si="3"/>
        <v>0</v>
      </c>
      <c r="M26" s="66">
        <f t="shared" si="3"/>
        <v>238.30999999999995</v>
      </c>
      <c r="N26" s="66">
        <f t="shared" si="3"/>
        <v>1426.2700000000004</v>
      </c>
      <c r="O26" s="67"/>
      <c r="P26" s="68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workbookViewId="0">
      <selection activeCell="L36" sqref="L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3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3">
        <f>SUM(C7:N7)</f>
        <v>237</v>
      </c>
    </row>
    <row r="8" spans="2:16" x14ac:dyDescent="0.3">
      <c r="B8" s="18" t="s">
        <v>22</v>
      </c>
      <c r="C8" s="56">
        <f t="shared" ref="C8:N8" si="0">C7-C6</f>
        <v>3</v>
      </c>
      <c r="D8" s="56">
        <f t="shared" si="0"/>
        <v>1</v>
      </c>
      <c r="E8" s="56">
        <f t="shared" si="0"/>
        <v>4</v>
      </c>
      <c r="F8" s="56">
        <f t="shared" si="0"/>
        <v>0</v>
      </c>
      <c r="G8" s="56">
        <f t="shared" si="0"/>
        <v>-1</v>
      </c>
      <c r="H8" s="56">
        <f t="shared" si="0"/>
        <v>-7</v>
      </c>
      <c r="I8" s="56">
        <f t="shared" si="0"/>
        <v>1</v>
      </c>
      <c r="J8" s="56">
        <f t="shared" si="0"/>
        <v>3</v>
      </c>
      <c r="K8" s="56">
        <f t="shared" si="0"/>
        <v>2</v>
      </c>
      <c r="L8" s="56">
        <f t="shared" si="0"/>
        <v>3</v>
      </c>
      <c r="M8" s="56">
        <f t="shared" si="0"/>
        <v>-1</v>
      </c>
      <c r="N8" s="56">
        <f t="shared" si="0"/>
        <v>1</v>
      </c>
      <c r="O8" s="36"/>
      <c r="P8" s="53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4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4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4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4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>
        <v>800</v>
      </c>
      <c r="N20" s="61"/>
      <c r="O20" s="4"/>
      <c r="P20" s="41">
        <f>SUM(C20:N20)</f>
        <v>800</v>
      </c>
    </row>
    <row r="21" spans="2:16" x14ac:dyDescent="0.3">
      <c r="B21" s="27" t="s">
        <v>2</v>
      </c>
      <c r="C21" s="28">
        <f>SUM(C18:C20)</f>
        <v>10449.800000000001</v>
      </c>
      <c r="D21" s="28">
        <f t="shared" ref="D21:N21" si="1">SUM(D18:D20)</f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 t="shared" si="1"/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2" t="s">
        <v>42</v>
      </c>
      <c r="C26" s="10"/>
      <c r="D26" s="10"/>
      <c r="E26" s="10"/>
      <c r="F26" s="10"/>
      <c r="G26" s="10"/>
      <c r="H26" s="10"/>
      <c r="I26" s="63">
        <f t="shared" ref="I26:N26" si="4">(5566.38/5)*9.7%</f>
        <v>107.98777199999999</v>
      </c>
      <c r="J26" s="63">
        <f t="shared" si="4"/>
        <v>107.98777199999999</v>
      </c>
      <c r="K26" s="63">
        <f t="shared" si="4"/>
        <v>107.98777199999999</v>
      </c>
      <c r="L26" s="63">
        <f t="shared" si="4"/>
        <v>107.98777199999999</v>
      </c>
      <c r="M26" s="63">
        <f>(3818.75/5)*9.7%</f>
        <v>74.083749999999995</v>
      </c>
      <c r="N26" s="63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2" t="s">
        <v>43</v>
      </c>
      <c r="C27" s="10"/>
      <c r="D27" s="10"/>
      <c r="E27" s="10"/>
      <c r="F27" s="10"/>
      <c r="G27" s="10"/>
      <c r="H27" s="10"/>
      <c r="I27" s="63">
        <f t="shared" ref="I27:N27" si="5">(I25)*0.02</f>
        <v>20.105764560000004</v>
      </c>
      <c r="J27" s="63">
        <f t="shared" si="5"/>
        <v>20.105764560000004</v>
      </c>
      <c r="K27" s="63">
        <f t="shared" si="5"/>
        <v>20.105764560000004</v>
      </c>
      <c r="L27" s="63">
        <f t="shared" si="5"/>
        <v>20.105764560000004</v>
      </c>
      <c r="M27" s="63">
        <f t="shared" si="5"/>
        <v>13.793324999999999</v>
      </c>
      <c r="N27" s="63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0" t="s">
        <v>39</v>
      </c>
      <c r="C29" s="61"/>
      <c r="D29" s="61">
        <v>1340.83</v>
      </c>
      <c r="E29" s="61"/>
      <c r="F29" s="61"/>
      <c r="G29" s="61"/>
      <c r="H29" s="61"/>
      <c r="I29" s="61">
        <v>169.08</v>
      </c>
      <c r="J29" s="61">
        <v>2332.5</v>
      </c>
      <c r="K29" s="61"/>
      <c r="L29" s="61"/>
      <c r="M29" s="61"/>
      <c r="N29" s="61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5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65" t="s">
        <v>36</v>
      </c>
      <c r="C32" s="66">
        <f t="shared" ref="C32:N32" si="7">C21-C30</f>
        <v>1414.8900000000012</v>
      </c>
      <c r="D32" s="66">
        <f t="shared" si="7"/>
        <v>-882.73999999999978</v>
      </c>
      <c r="E32" s="66">
        <f t="shared" si="7"/>
        <v>1893.2900000000009</v>
      </c>
      <c r="F32" s="66">
        <f t="shared" si="7"/>
        <v>-20.309999999999491</v>
      </c>
      <c r="G32" s="66">
        <f t="shared" si="7"/>
        <v>-262.29000000000087</v>
      </c>
      <c r="H32" s="66">
        <f t="shared" si="7"/>
        <v>-2015.9499999999998</v>
      </c>
      <c r="I32" s="66">
        <f t="shared" si="7"/>
        <v>267.51823543999853</v>
      </c>
      <c r="J32" s="66">
        <f t="shared" si="7"/>
        <v>-939.10176456000045</v>
      </c>
      <c r="K32" s="66">
        <f t="shared" si="7"/>
        <v>914.9982354399981</v>
      </c>
      <c r="L32" s="66">
        <f t="shared" si="7"/>
        <v>483.39823543999955</v>
      </c>
      <c r="M32" s="66">
        <f t="shared" si="7"/>
        <v>3078.8566750000009</v>
      </c>
      <c r="N32" s="66">
        <f t="shared" si="7"/>
        <v>-4653.4017645599997</v>
      </c>
      <c r="O32" s="67"/>
      <c r="P32" s="68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topLeftCell="A13" zoomScale="85" zoomScaleNormal="85" workbookViewId="0">
      <selection activeCell="P29" sqref="P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3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16</v>
      </c>
      <c r="O7" s="36"/>
      <c r="P7" s="53">
        <f>SUM(C7:N7)</f>
        <v>246</v>
      </c>
    </row>
    <row r="8" spans="2:16" x14ac:dyDescent="0.3">
      <c r="B8" s="18" t="s">
        <v>22</v>
      </c>
      <c r="C8" s="56">
        <f t="shared" ref="C8:N8" si="0">C7-C6</f>
        <v>3</v>
      </c>
      <c r="D8" s="56">
        <f t="shared" si="0"/>
        <v>2</v>
      </c>
      <c r="E8" s="56">
        <f t="shared" si="0"/>
        <v>2</v>
      </c>
      <c r="F8" s="56">
        <f t="shared" si="0"/>
        <v>1</v>
      </c>
      <c r="G8" s="56">
        <f t="shared" si="0"/>
        <v>0</v>
      </c>
      <c r="H8" s="56">
        <f t="shared" si="0"/>
        <v>1</v>
      </c>
      <c r="I8" s="56">
        <f t="shared" si="0"/>
        <v>4</v>
      </c>
      <c r="J8" s="56">
        <f t="shared" si="0"/>
        <v>2</v>
      </c>
      <c r="K8" s="56">
        <f t="shared" si="0"/>
        <v>2</v>
      </c>
      <c r="L8" s="56">
        <f t="shared" si="0"/>
        <v>4</v>
      </c>
      <c r="M8" s="56">
        <f t="shared" si="0"/>
        <v>0</v>
      </c>
      <c r="N8" s="56">
        <f t="shared" si="0"/>
        <v>-3</v>
      </c>
      <c r="O8" s="36"/>
      <c r="P8" s="53">
        <f>SUM(C8:N8)</f>
        <v>18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16</v>
      </c>
      <c r="P11" s="54">
        <f>SUM(C11:N11)</f>
        <v>245.5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4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>
        <v>2</v>
      </c>
      <c r="J15" s="23">
        <v>3</v>
      </c>
      <c r="K15" s="23">
        <v>2</v>
      </c>
      <c r="L15" s="23"/>
      <c r="M15" s="23"/>
      <c r="N15" s="23"/>
      <c r="P15" s="54">
        <f>SUM(C15:N15)</f>
        <v>7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>
        <f>H11*Params!$C$5*(1-Params!$C$3)-Params!$C$4</f>
        <v>9493</v>
      </c>
      <c r="I18" s="10">
        <f>I11*Params!$C$5*(1-Params!$C$3)-Params!$C$4</f>
        <v>10928.2</v>
      </c>
      <c r="J18" s="10">
        <f>J11*Params!$C$5*(1-Params!$C$3)-Params!$C$4</f>
        <v>9971.4</v>
      </c>
      <c r="K18" s="10">
        <f>K11*Params!$C$5*(1-Params!$C$3)-Params!$C$4</f>
        <v>9971.4</v>
      </c>
      <c r="L18" s="10">
        <f>L11*Params!$C$5*(1-Params!$C$3)-Params!$C$4</f>
        <v>10928.2</v>
      </c>
      <c r="M18" s="10">
        <f>M11*Params!$C$5*(1-Params!$C$3)-Params!$C$4</f>
        <v>9014.6</v>
      </c>
      <c r="N18" s="10">
        <f>N11*Params!$C$5*(1-Params!$C$3)-Params!$C$4</f>
        <v>7579.4000000000005</v>
      </c>
      <c r="O18" s="4"/>
      <c r="P18" s="41">
        <f>SUM(C18:N18)</f>
        <v>116547.19999999998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>
        <v>1820</v>
      </c>
      <c r="J19" s="10">
        <v>668.57</v>
      </c>
      <c r="K19" s="10">
        <v>817.13</v>
      </c>
      <c r="L19" s="10"/>
      <c r="M19" s="10"/>
      <c r="N19" s="10"/>
      <c r="O19" s="4"/>
      <c r="P19" s="41">
        <f>SUM(C19:N19)</f>
        <v>3305.7000000000003</v>
      </c>
    </row>
    <row r="20" spans="2:16" x14ac:dyDescent="0.3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41">
        <f>SUM(C20:N20)</f>
        <v>0</v>
      </c>
    </row>
    <row r="21" spans="2:16" x14ac:dyDescent="0.3">
      <c r="B21" s="27" t="s">
        <v>2</v>
      </c>
      <c r="C21" s="28">
        <f>SUM(C18:C20)</f>
        <v>10449.800000000001</v>
      </c>
      <c r="D21" s="28">
        <f t="shared" ref="D21:N21" si="1">SUM(D18:D20)</f>
        <v>9971.4</v>
      </c>
      <c r="E21" s="28">
        <f t="shared" si="1"/>
        <v>9971.4</v>
      </c>
      <c r="F21" s="28">
        <f t="shared" si="1"/>
        <v>9253.8000000000011</v>
      </c>
      <c r="G21" s="28">
        <f t="shared" si="1"/>
        <v>9014.6</v>
      </c>
      <c r="H21" s="28">
        <f t="shared" si="1"/>
        <v>9493</v>
      </c>
      <c r="I21" s="28">
        <f t="shared" si="1"/>
        <v>12748.2</v>
      </c>
      <c r="J21" s="28">
        <f t="shared" si="1"/>
        <v>10639.97</v>
      </c>
      <c r="K21" s="28">
        <f t="shared" si="1"/>
        <v>10788.529999999999</v>
      </c>
      <c r="L21" s="28">
        <f t="shared" si="1"/>
        <v>10928.2</v>
      </c>
      <c r="M21" s="28">
        <f t="shared" si="1"/>
        <v>9014.6</v>
      </c>
      <c r="N21" s="28">
        <f t="shared" si="1"/>
        <v>7579.4000000000005</v>
      </c>
      <c r="O21" s="5"/>
      <c r="P21" s="42">
        <f>SUM(C21:N21)</f>
        <v>119852.9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>
        <v>4707.9399999999996</v>
      </c>
      <c r="I24" s="10">
        <v>5713.92</v>
      </c>
      <c r="J24" s="10">
        <v>5713.92</v>
      </c>
      <c r="K24" s="10">
        <v>5713.92</v>
      </c>
      <c r="L24" s="10">
        <v>6680.57</v>
      </c>
      <c r="M24" s="10">
        <v>5713.92</v>
      </c>
      <c r="N24" s="10">
        <v>5713.92</v>
      </c>
      <c r="O24" s="4"/>
      <c r="P24" s="43">
        <f t="shared" ref="P24:P31" si="2">SUM(C24:N24)</f>
        <v>63327.80999999999</v>
      </c>
    </row>
    <row r="25" spans="2:16" x14ac:dyDescent="0.3">
      <c r="B25" s="9" t="s">
        <v>41</v>
      </c>
      <c r="C25" s="10">
        <f t="shared" ref="C25:H25" si="3">(5570.18/5)*(1-9.7%)</f>
        <v>1005.9745080000001</v>
      </c>
      <c r="D25" s="10">
        <f t="shared" si="3"/>
        <v>1005.9745080000001</v>
      </c>
      <c r="E25" s="10">
        <f t="shared" si="3"/>
        <v>1005.9745080000001</v>
      </c>
      <c r="F25" s="64">
        <f t="shared" si="3"/>
        <v>1005.9745080000001</v>
      </c>
      <c r="G25" s="64">
        <f t="shared" si="3"/>
        <v>1005.9745080000001</v>
      </c>
      <c r="H25" s="64">
        <f t="shared" si="3"/>
        <v>1005.9745080000001</v>
      </c>
      <c r="I25" s="64"/>
      <c r="J25" s="64"/>
      <c r="K25" s="64"/>
      <c r="L25" s="64"/>
      <c r="M25" s="64"/>
      <c r="N25" s="64"/>
      <c r="O25" s="4"/>
      <c r="P25" s="43">
        <f t="shared" si="2"/>
        <v>6035.8470480000005</v>
      </c>
    </row>
    <row r="26" spans="2:16" x14ac:dyDescent="0.3">
      <c r="B26" s="62" t="s">
        <v>42</v>
      </c>
      <c r="C26" s="63">
        <f t="shared" ref="C26:H26" si="4">(5570.18/5)*9.7%</f>
        <v>108.06149199999999</v>
      </c>
      <c r="D26" s="63">
        <f t="shared" si="4"/>
        <v>108.06149199999999</v>
      </c>
      <c r="E26" s="63">
        <f t="shared" si="4"/>
        <v>108.06149199999999</v>
      </c>
      <c r="F26" s="63">
        <f t="shared" si="4"/>
        <v>108.06149199999999</v>
      </c>
      <c r="G26" s="63">
        <f t="shared" si="4"/>
        <v>108.06149199999999</v>
      </c>
      <c r="H26" s="63">
        <f t="shared" si="4"/>
        <v>108.06149199999999</v>
      </c>
      <c r="I26" s="63"/>
      <c r="J26" s="63"/>
      <c r="K26" s="63"/>
      <c r="L26" s="63"/>
      <c r="M26" s="63"/>
      <c r="N26" s="63"/>
      <c r="O26" s="4"/>
      <c r="P26" s="43">
        <f t="shared" si="2"/>
        <v>648.36895200000004</v>
      </c>
    </row>
    <row r="27" spans="2:16" x14ac:dyDescent="0.3">
      <c r="B27" s="62" t="s">
        <v>43</v>
      </c>
      <c r="C27" s="63">
        <f t="shared" ref="C27:H27" si="5">(C25)*0.02</f>
        <v>20.119490160000002</v>
      </c>
      <c r="D27" s="63">
        <f t="shared" si="5"/>
        <v>20.119490160000002</v>
      </c>
      <c r="E27" s="63">
        <f t="shared" si="5"/>
        <v>20.119490160000002</v>
      </c>
      <c r="F27" s="63">
        <f t="shared" si="5"/>
        <v>20.119490160000002</v>
      </c>
      <c r="G27" s="63">
        <f t="shared" si="5"/>
        <v>20.119490160000002</v>
      </c>
      <c r="H27" s="63">
        <f t="shared" si="5"/>
        <v>20.119490160000002</v>
      </c>
      <c r="I27" s="63"/>
      <c r="J27" s="63"/>
      <c r="K27" s="63"/>
      <c r="L27" s="63"/>
      <c r="M27" s="63"/>
      <c r="N27" s="63"/>
      <c r="O27" s="4"/>
      <c r="P27" s="43">
        <f t="shared" si="2"/>
        <v>120.71694096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>
        <f>1118.64+2314.65</f>
        <v>3433.29</v>
      </c>
      <c r="I28" s="10">
        <f>1226.7+2317.44</f>
        <v>3544.1400000000003</v>
      </c>
      <c r="J28" s="10">
        <f>1226.7+2317.44</f>
        <v>3544.1400000000003</v>
      </c>
      <c r="K28" s="10">
        <f>1226.7+2317.44</f>
        <v>3544.1400000000003</v>
      </c>
      <c r="L28" s="10">
        <f>1460.05+2731.86</f>
        <v>4191.91</v>
      </c>
      <c r="M28" s="10">
        <f>1226.7+2317.44</f>
        <v>3544.1400000000003</v>
      </c>
      <c r="N28" s="10">
        <f>1226.7+2317.44</f>
        <v>3544.1400000000003</v>
      </c>
      <c r="O28" s="4"/>
      <c r="P28" s="43">
        <f t="shared" si="2"/>
        <v>42416.07</v>
      </c>
    </row>
    <row r="29" spans="2:16" x14ac:dyDescent="0.3">
      <c r="B29" s="9" t="s">
        <v>39</v>
      </c>
      <c r="C29" s="10"/>
      <c r="D29" s="10"/>
      <c r="E29" s="10"/>
      <c r="F29" s="10"/>
      <c r="G29" s="10"/>
      <c r="H29" s="10"/>
      <c r="I29" s="10"/>
      <c r="J29" s="10">
        <f>157.5+1015.83</f>
        <v>1173.33</v>
      </c>
      <c r="K29" s="10">
        <f>77.49+72.49+98.99</f>
        <v>248.96999999999997</v>
      </c>
      <c r="L29" s="10"/>
      <c r="M29" s="10"/>
      <c r="N29" s="10"/>
      <c r="O29" s="4"/>
      <c r="P29" s="43">
        <f t="shared" si="2"/>
        <v>1422.3</v>
      </c>
    </row>
    <row r="30" spans="2:16" x14ac:dyDescent="0.3">
      <c r="B30" s="9" t="s">
        <v>45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4"/>
      <c r="P30" s="43">
        <f t="shared" si="2"/>
        <v>0</v>
      </c>
    </row>
    <row r="31" spans="2:16" x14ac:dyDescent="0.3">
      <c r="B31" s="8" t="s">
        <v>3</v>
      </c>
      <c r="C31" s="44">
        <f>SUM(C24:C30)</f>
        <v>9080.3254901600012</v>
      </c>
      <c r="D31" s="44">
        <f t="shared" ref="D31:N31" si="6">SUM(D24:D30)</f>
        <v>9250.3254901600012</v>
      </c>
      <c r="E31" s="44">
        <f t="shared" si="6"/>
        <v>9250.3254901600012</v>
      </c>
      <c r="F31" s="44">
        <f t="shared" si="6"/>
        <v>9250.3254901600012</v>
      </c>
      <c r="G31" s="44">
        <f t="shared" si="6"/>
        <v>9279.3454901599998</v>
      </c>
      <c r="H31" s="44">
        <f t="shared" si="6"/>
        <v>9275.3854901599989</v>
      </c>
      <c r="I31" s="44">
        <f t="shared" si="6"/>
        <v>9258.0600000000013</v>
      </c>
      <c r="J31" s="44">
        <f t="shared" si="6"/>
        <v>10431.390000000001</v>
      </c>
      <c r="K31" s="44">
        <f t="shared" si="6"/>
        <v>9507.0300000000007</v>
      </c>
      <c r="L31" s="44">
        <f t="shared" si="6"/>
        <v>10872.48</v>
      </c>
      <c r="M31" s="44">
        <f t="shared" si="6"/>
        <v>9258.0600000000013</v>
      </c>
      <c r="N31" s="44">
        <f t="shared" si="6"/>
        <v>9258.0600000000013</v>
      </c>
      <c r="O31" s="4"/>
      <c r="P31" s="55">
        <f t="shared" si="2"/>
        <v>113971.11294096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65" t="s">
        <v>36</v>
      </c>
      <c r="C33" s="66">
        <f t="shared" ref="C33:N33" si="7">C21-C31</f>
        <v>1369.4745098399999</v>
      </c>
      <c r="D33" s="66">
        <f t="shared" si="7"/>
        <v>721.07450983999843</v>
      </c>
      <c r="E33" s="66">
        <f t="shared" si="7"/>
        <v>721.07450983999843</v>
      </c>
      <c r="F33" s="66">
        <f t="shared" si="7"/>
        <v>3.4745098399998824</v>
      </c>
      <c r="G33" s="66">
        <f t="shared" si="7"/>
        <v>-264.74549015999946</v>
      </c>
      <c r="H33" s="66">
        <f t="shared" si="7"/>
        <v>217.61450984000112</v>
      </c>
      <c r="I33" s="66">
        <f t="shared" si="7"/>
        <v>3490.1399999999994</v>
      </c>
      <c r="J33" s="66">
        <f t="shared" si="7"/>
        <v>208.57999999999811</v>
      </c>
      <c r="K33" s="66">
        <f t="shared" si="7"/>
        <v>1281.4999999999982</v>
      </c>
      <c r="L33" s="66">
        <f t="shared" si="7"/>
        <v>55.720000000001164</v>
      </c>
      <c r="M33" s="66">
        <f t="shared" si="7"/>
        <v>-243.46000000000095</v>
      </c>
      <c r="N33" s="66">
        <f t="shared" si="7"/>
        <v>-1678.6600000000008</v>
      </c>
      <c r="O33" s="67"/>
      <c r="P33" s="68">
        <f>SUM(C33:N33)</f>
        <v>5881.7870590399934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3"/>
  <sheetViews>
    <sheetView tabSelected="1" workbookViewId="0">
      <selection activeCell="I31" sqref="I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>
        <v>5</v>
      </c>
      <c r="D6" s="35"/>
      <c r="E6" s="35"/>
      <c r="F6" s="37"/>
      <c r="G6" s="37"/>
      <c r="H6" s="37">
        <v>11</v>
      </c>
      <c r="I6" s="37">
        <v>19</v>
      </c>
      <c r="J6" s="37"/>
      <c r="K6" s="37"/>
      <c r="L6" s="37"/>
      <c r="M6" s="37"/>
      <c r="N6" s="37"/>
      <c r="O6" s="36"/>
      <c r="P6" s="53">
        <f>SUM(H6:N6)</f>
        <v>30</v>
      </c>
    </row>
    <row r="7" spans="2:16" x14ac:dyDescent="0.3">
      <c r="B7" s="9" t="s">
        <v>21</v>
      </c>
      <c r="C7" s="37">
        <v>7</v>
      </c>
      <c r="D7" s="37"/>
      <c r="E7" s="37"/>
      <c r="F7" s="37"/>
      <c r="G7" s="37"/>
      <c r="H7" s="37">
        <v>11</v>
      </c>
      <c r="I7" s="37">
        <v>21</v>
      </c>
      <c r="J7" s="37"/>
      <c r="K7" s="37"/>
      <c r="L7" s="37"/>
      <c r="M7" s="37"/>
      <c r="N7" s="37"/>
      <c r="O7" s="36"/>
      <c r="P7" s="53">
        <f>SUM(H7:N7)</f>
        <v>32</v>
      </c>
    </row>
    <row r="8" spans="2:16" x14ac:dyDescent="0.3">
      <c r="B8" s="18" t="s">
        <v>22</v>
      </c>
      <c r="C8" s="56">
        <f t="shared" ref="C8:N8" si="0">C7-C6</f>
        <v>2</v>
      </c>
      <c r="D8" s="56">
        <f t="shared" si="0"/>
        <v>0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2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36"/>
      <c r="P8" s="53">
        <f>SUM(H8:N8)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>
        <v>7</v>
      </c>
      <c r="D11" s="11"/>
      <c r="E11" s="11"/>
      <c r="F11" s="11"/>
      <c r="G11" s="11"/>
      <c r="H11" s="11">
        <v>10.5</v>
      </c>
      <c r="I11" s="11">
        <v>21</v>
      </c>
      <c r="J11" s="11"/>
      <c r="K11" s="11"/>
      <c r="L11" s="11"/>
      <c r="M11" s="11"/>
      <c r="N11" s="11"/>
      <c r="P11" s="54">
        <f>SUM(H11:N11)</f>
        <v>31.5</v>
      </c>
    </row>
    <row r="12" spans="2:16" x14ac:dyDescent="0.3">
      <c r="B12" s="9" t="s">
        <v>16</v>
      </c>
      <c r="C12" s="12">
        <v>2</v>
      </c>
      <c r="D12" s="12"/>
      <c r="E12" s="12"/>
      <c r="F12" s="12"/>
      <c r="G12" s="12"/>
      <c r="H12" s="12">
        <v>0.5</v>
      </c>
      <c r="I12" s="12">
        <v>1</v>
      </c>
      <c r="J12" s="12"/>
      <c r="K12" s="12"/>
      <c r="L12" s="12"/>
      <c r="M12" s="12"/>
      <c r="N12" s="12"/>
      <c r="P12" s="54">
        <f t="shared" ref="P12:P15" si="1">SUM(H12:N12)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 t="shared" si="1"/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 t="shared" si="1"/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4">
        <f t="shared" si="1"/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">
      <c r="B18" s="9" t="s">
        <v>6</v>
      </c>
      <c r="C18" s="10">
        <f>C11*Params!$C$5*(1-Params!$C$3)-Params!$C$4</f>
        <v>3273.8</v>
      </c>
      <c r="D18" s="10"/>
      <c r="E18" s="10"/>
      <c r="F18" s="10"/>
      <c r="G18" s="10"/>
      <c r="H18" s="10">
        <f>H11*Params!$C$6*(1-Params!$C$3)-Params!$C$4</f>
        <v>4755</v>
      </c>
      <c r="I18" s="10">
        <f>I11*Params!$C$6*(1-Params!$C$3)-Params!$C$4</f>
        <v>9585</v>
      </c>
      <c r="J18" s="10"/>
      <c r="K18" s="10"/>
      <c r="L18" s="10"/>
      <c r="M18" s="10"/>
      <c r="N18" s="10"/>
      <c r="O18" s="4"/>
      <c r="P18" s="41">
        <f>SUM(H18:N18)</f>
        <v>14340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 t="shared" ref="P19:P20" si="2">SUM(H19:N19)</f>
        <v>0</v>
      </c>
    </row>
    <row r="20" spans="2:16" x14ac:dyDescent="0.3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41">
        <f t="shared" si="2"/>
        <v>0</v>
      </c>
    </row>
    <row r="21" spans="2:16" x14ac:dyDescent="0.3">
      <c r="B21" s="27" t="s">
        <v>2</v>
      </c>
      <c r="C21" s="28">
        <f t="shared" ref="C21:N21" si="3">SUM(C18:C19)</f>
        <v>3273.8</v>
      </c>
      <c r="D21" s="28">
        <f t="shared" si="3"/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  <c r="H21" s="28">
        <f t="shared" si="3"/>
        <v>4755</v>
      </c>
      <c r="I21" s="28">
        <f t="shared" si="3"/>
        <v>9585</v>
      </c>
      <c r="J21" s="28">
        <f t="shared" si="3"/>
        <v>0</v>
      </c>
      <c r="K21" s="28">
        <f t="shared" si="3"/>
        <v>0</v>
      </c>
      <c r="L21" s="28">
        <f t="shared" si="3"/>
        <v>0</v>
      </c>
      <c r="M21" s="28">
        <f t="shared" si="3"/>
        <v>0</v>
      </c>
      <c r="N21" s="28">
        <f t="shared" si="3"/>
        <v>0</v>
      </c>
      <c r="O21" s="5"/>
      <c r="P21" s="42">
        <f>SUM(H21:N21)</f>
        <v>14340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">
      <c r="B24" s="9" t="s">
        <v>7</v>
      </c>
      <c r="C24" s="10">
        <v>6174.08</v>
      </c>
      <c r="D24" s="10"/>
      <c r="E24" s="10"/>
      <c r="F24" s="10"/>
      <c r="G24" s="10"/>
      <c r="H24" s="10">
        <v>2248.63</v>
      </c>
      <c r="I24" s="10">
        <v>4363.17</v>
      </c>
      <c r="J24" s="10"/>
      <c r="K24" s="10"/>
      <c r="L24" s="10"/>
      <c r="M24" s="10"/>
      <c r="N24" s="10"/>
      <c r="O24" s="4"/>
      <c r="P24" s="43">
        <f>SUM(H24:N24)</f>
        <v>6611.8</v>
      </c>
    </row>
    <row r="25" spans="2:16" x14ac:dyDescent="0.3">
      <c r="B25" s="9" t="s">
        <v>41</v>
      </c>
      <c r="C25" s="10"/>
      <c r="D25" s="10"/>
      <c r="E25" s="10"/>
      <c r="F25" s="64"/>
      <c r="G25" s="64"/>
      <c r="H25" s="10">
        <f>(2589.44/5)*(1-9.7%)</f>
        <v>467.65286400000002</v>
      </c>
      <c r="I25" s="10">
        <f>(5068.57/5)*(1-9.7%)</f>
        <v>915.38374199999998</v>
      </c>
      <c r="J25" s="64"/>
      <c r="K25" s="64"/>
      <c r="L25" s="64"/>
      <c r="M25" s="64"/>
      <c r="N25" s="64"/>
      <c r="O25" s="4"/>
      <c r="P25" s="43">
        <f t="shared" ref="P25:P29" si="4">SUM(H25:N25)</f>
        <v>1383.0366060000001</v>
      </c>
    </row>
    <row r="26" spans="2:16" x14ac:dyDescent="0.3">
      <c r="B26" s="62" t="s">
        <v>42</v>
      </c>
      <c r="C26" s="63"/>
      <c r="D26" s="63"/>
      <c r="E26" s="63"/>
      <c r="F26" s="63"/>
      <c r="G26" s="63"/>
      <c r="H26" s="63">
        <f>(2589.44/5)*9.7%</f>
        <v>50.235135999999997</v>
      </c>
      <c r="I26" s="63">
        <f>(5068.57/5)*9.7%</f>
        <v>98.330257999999986</v>
      </c>
      <c r="J26" s="63"/>
      <c r="K26" s="63"/>
      <c r="L26" s="63"/>
      <c r="M26" s="63"/>
      <c r="N26" s="63"/>
      <c r="O26" s="4"/>
      <c r="P26" s="43">
        <f t="shared" si="4"/>
        <v>148.56539399999997</v>
      </c>
    </row>
    <row r="27" spans="2:16" x14ac:dyDescent="0.3">
      <c r="B27" s="62" t="s">
        <v>43</v>
      </c>
      <c r="C27" s="63"/>
      <c r="D27" s="63"/>
      <c r="E27" s="63"/>
      <c r="F27" s="63"/>
      <c r="G27" s="63"/>
      <c r="H27" s="63">
        <f t="shared" ref="H27:I27" si="5">(H25)*0.02</f>
        <v>9.3530572799999998</v>
      </c>
      <c r="I27" s="63">
        <f t="shared" si="5"/>
        <v>18.307674840000001</v>
      </c>
      <c r="J27" s="63"/>
      <c r="K27" s="63"/>
      <c r="L27" s="63"/>
      <c r="M27" s="63"/>
      <c r="N27" s="63"/>
      <c r="O27" s="4"/>
      <c r="P27" s="43">
        <f t="shared" si="4"/>
        <v>27.660732119999999</v>
      </c>
    </row>
    <row r="28" spans="2:16" x14ac:dyDescent="0.3">
      <c r="B28" s="9" t="s">
        <v>8</v>
      </c>
      <c r="C28" s="10">
        <f>884.74+1576.72</f>
        <v>2461.46</v>
      </c>
      <c r="D28" s="10"/>
      <c r="E28" s="10"/>
      <c r="F28" s="10"/>
      <c r="G28" s="10"/>
      <c r="H28" s="10">
        <f>519.61+1105.98</f>
        <v>1625.5900000000001</v>
      </c>
      <c r="I28" s="10">
        <f>964.2+2115.69</f>
        <v>3079.8900000000003</v>
      </c>
      <c r="J28" s="10"/>
      <c r="K28" s="10"/>
      <c r="L28" s="10"/>
      <c r="M28" s="10"/>
      <c r="N28" s="10"/>
      <c r="O28" s="4"/>
      <c r="P28" s="43">
        <f t="shared" si="4"/>
        <v>4705.4800000000005</v>
      </c>
    </row>
    <row r="29" spans="2:16" x14ac:dyDescent="0.3">
      <c r="B29" s="9" t="s">
        <v>47</v>
      </c>
      <c r="C29" s="10">
        <v>1500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4"/>
      <c r="P29" s="43">
        <f t="shared" si="4"/>
        <v>0</v>
      </c>
    </row>
    <row r="30" spans="2:16" x14ac:dyDescent="0.3">
      <c r="B30" s="60" t="s">
        <v>49</v>
      </c>
      <c r="C30" s="61"/>
      <c r="D30" s="61"/>
      <c r="E30" s="61"/>
      <c r="F30" s="61"/>
      <c r="G30" s="61"/>
      <c r="H30" s="61"/>
      <c r="I30" s="61">
        <v>53.73</v>
      </c>
      <c r="J30" s="61"/>
      <c r="K30" s="61"/>
      <c r="L30" s="61"/>
      <c r="M30" s="61"/>
      <c r="N30" s="61"/>
      <c r="O30" s="4"/>
      <c r="P30" s="43"/>
    </row>
    <row r="31" spans="2:16" x14ac:dyDescent="0.3">
      <c r="B31" s="8" t="s">
        <v>3</v>
      </c>
      <c r="C31" s="44">
        <f t="shared" ref="C31:N31" si="6">SUM(C24:C29)</f>
        <v>10135.540000000001</v>
      </c>
      <c r="D31" s="44">
        <f t="shared" si="6"/>
        <v>0</v>
      </c>
      <c r="E31" s="44">
        <f t="shared" si="6"/>
        <v>0</v>
      </c>
      <c r="F31" s="44">
        <f t="shared" si="6"/>
        <v>0</v>
      </c>
      <c r="G31" s="44">
        <f t="shared" si="6"/>
        <v>0</v>
      </c>
      <c r="H31" s="44">
        <f t="shared" si="6"/>
        <v>4401.4610572800002</v>
      </c>
      <c r="I31" s="44">
        <f>SUM(I24:I30)</f>
        <v>8528.8116748399989</v>
      </c>
      <c r="J31" s="44">
        <f t="shared" si="6"/>
        <v>0</v>
      </c>
      <c r="K31" s="44">
        <f t="shared" si="6"/>
        <v>0</v>
      </c>
      <c r="L31" s="44">
        <f t="shared" si="6"/>
        <v>0</v>
      </c>
      <c r="M31" s="44">
        <f t="shared" si="6"/>
        <v>0</v>
      </c>
      <c r="N31" s="44">
        <f t="shared" si="6"/>
        <v>0</v>
      </c>
      <c r="O31" s="4"/>
      <c r="P31" s="55">
        <f>SUM(H31:N31)</f>
        <v>12930.27273212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65" t="s">
        <v>36</v>
      </c>
      <c r="C33" s="66">
        <f t="shared" ref="C33:N33" si="7">C21-C31</f>
        <v>-6861.7400000000007</v>
      </c>
      <c r="D33" s="66">
        <f t="shared" si="7"/>
        <v>0</v>
      </c>
      <c r="E33" s="66">
        <f t="shared" si="7"/>
        <v>0</v>
      </c>
      <c r="F33" s="66">
        <f t="shared" si="7"/>
        <v>0</v>
      </c>
      <c r="G33" s="66">
        <f t="shared" si="7"/>
        <v>0</v>
      </c>
      <c r="H33" s="66">
        <f t="shared" si="7"/>
        <v>353.5389427199998</v>
      </c>
      <c r="I33" s="66">
        <f t="shared" si="7"/>
        <v>1056.1883251600011</v>
      </c>
      <c r="J33" s="66">
        <f t="shared" si="7"/>
        <v>0</v>
      </c>
      <c r="K33" s="66">
        <f t="shared" si="7"/>
        <v>0</v>
      </c>
      <c r="L33" s="66">
        <f t="shared" si="7"/>
        <v>0</v>
      </c>
      <c r="M33" s="66">
        <f t="shared" si="7"/>
        <v>0</v>
      </c>
      <c r="N33" s="66">
        <f t="shared" si="7"/>
        <v>0</v>
      </c>
      <c r="O33" s="67"/>
      <c r="P33" s="68">
        <f>SUM(H33:N33)</f>
        <v>1409.7272678800009</v>
      </c>
    </row>
  </sheetData>
  <mergeCells count="1">
    <mergeCell ref="B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  <row r="6" spans="2:3" x14ac:dyDescent="0.3">
      <c r="B6" s="33" t="s">
        <v>46</v>
      </c>
      <c r="C6" s="33">
        <v>500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'2025'!P33</f>
        <v>1409.7272678800009</v>
      </c>
    </row>
    <row r="4" spans="2:3" ht="16.95" customHeight="1" x14ac:dyDescent="0.3">
      <c r="B4" s="38" t="s">
        <v>37</v>
      </c>
      <c r="C4" s="40">
        <f>'2025'!P12</f>
        <v>1.5</v>
      </c>
    </row>
    <row r="5" spans="2:3" x14ac:dyDescent="0.3">
      <c r="B5" t="s">
        <v>48</v>
      </c>
      <c r="C5">
        <f>(1*2.08)+1.04-C4</f>
        <v>1.62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101</vt:i4>
      </vt:variant>
    </vt:vector>
  </HeadingPairs>
  <TitlesOfParts>
    <vt:vector size="107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2025-08-13T18:11:18Z</dcterms:modified>
</cp:coreProperties>
</file>