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7\"/>
    </mc:Choice>
  </mc:AlternateContent>
  <xr:revisionPtr revIDLastSave="0" documentId="13_ncr:1_{80CCD7B6-BD91-4C75-AC08-11E28C741F4C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5" r:id="rId1"/>
    <sheet name="2025" sheetId="16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'2025'!$B$15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'2025'!$B$17</definedName>
    <definedName name="ENTREES">#REF!</definedName>
    <definedName name="ENTREES_ASTREINTE" localSheetId="0">'2024'!$B$18</definedName>
    <definedName name="ENTREES_ASTREINTE" localSheetId="1">'2025'!$B$19</definedName>
    <definedName name="ENTREES_ASTREINTE">#REF!</definedName>
    <definedName name="ENTREES_FACTURE" localSheetId="0">'2024'!$B$17</definedName>
    <definedName name="ENTREES_FACTURE" localSheetId="1">'2025'!$B$18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'2024'!$B$26</definedName>
    <definedName name="SOLDE" localSheetId="1">'2025'!$B$28</definedName>
    <definedName name="SORTIES" localSheetId="0">'2024'!$B$21</definedName>
    <definedName name="SORTIES" localSheetId="1">'2025'!$B$22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'2025'!$B$24</definedName>
    <definedName name="SORTIES_CHARGES_SOCIALES_PATRONALES">#REF!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'2025'!$B$23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'2025'!$B$20</definedName>
    <definedName name="TOTAL_ENTREES">#REF!</definedName>
    <definedName name="TOTAL_SORTIES" localSheetId="0">'2024'!$B$24</definedName>
    <definedName name="TOTAL_SORTIES" localSheetId="1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6" i="16" l="1"/>
  <c r="K26" i="16"/>
  <c r="L26" i="16"/>
  <c r="M26" i="16"/>
  <c r="N26" i="16"/>
  <c r="I24" i="16" l="1"/>
  <c r="I26" i="16" s="1"/>
  <c r="I18" i="16" l="1"/>
  <c r="P14" i="16"/>
  <c r="H24" i="16" l="1"/>
  <c r="H26" i="16" s="1"/>
  <c r="H18" i="16"/>
  <c r="G24" i="16" l="1"/>
  <c r="G26" i="16" s="1"/>
  <c r="G18" i="16"/>
  <c r="F24" i="16" l="1"/>
  <c r="F26" i="16" s="1"/>
  <c r="F18" i="16"/>
  <c r="E24" i="16" l="1"/>
  <c r="E26" i="16" s="1"/>
  <c r="D24" i="16"/>
  <c r="D26" i="16" s="1"/>
  <c r="C24" i="16"/>
  <c r="C26" i="16" s="1"/>
  <c r="P23" i="16"/>
  <c r="N20" i="16"/>
  <c r="M20" i="16"/>
  <c r="L20" i="16"/>
  <c r="L28" i="16" s="1"/>
  <c r="K20" i="16"/>
  <c r="K28" i="16" s="1"/>
  <c r="J20" i="16"/>
  <c r="I20" i="16"/>
  <c r="H20" i="16"/>
  <c r="H28" i="16" s="1"/>
  <c r="G20" i="16"/>
  <c r="F20" i="16"/>
  <c r="P19" i="16"/>
  <c r="E18" i="16"/>
  <c r="E20" i="16" s="1"/>
  <c r="D18" i="16"/>
  <c r="D20" i="16" s="1"/>
  <c r="C18" i="16"/>
  <c r="C20" i="16" s="1"/>
  <c r="P15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4" i="15"/>
  <c r="G24" i="15"/>
  <c r="F24" i="15"/>
  <c r="E24" i="15"/>
  <c r="D24" i="15"/>
  <c r="C24" i="15"/>
  <c r="N23" i="15"/>
  <c r="M23" i="15"/>
  <c r="M24" i="15" s="1"/>
  <c r="L23" i="15"/>
  <c r="L24" i="15" s="1"/>
  <c r="K23" i="15"/>
  <c r="K24" i="15" s="1"/>
  <c r="J23" i="15"/>
  <c r="J24" i="15" s="1"/>
  <c r="I23" i="15"/>
  <c r="I24" i="15" s="1"/>
  <c r="H23" i="15"/>
  <c r="P22" i="15"/>
  <c r="F19" i="15"/>
  <c r="E19" i="15"/>
  <c r="D19" i="15"/>
  <c r="C19" i="15"/>
  <c r="P18" i="15"/>
  <c r="N17" i="15"/>
  <c r="N19" i="15" s="1"/>
  <c r="M17" i="15"/>
  <c r="M19" i="15" s="1"/>
  <c r="L17" i="15"/>
  <c r="L19" i="15" s="1"/>
  <c r="K17" i="15"/>
  <c r="K19" i="15" s="1"/>
  <c r="J17" i="15"/>
  <c r="J19" i="15" s="1"/>
  <c r="I17" i="15"/>
  <c r="I19" i="15" s="1"/>
  <c r="H17" i="15"/>
  <c r="H19" i="15" s="1"/>
  <c r="G17" i="15"/>
  <c r="G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I26" i="15" l="1"/>
  <c r="E26" i="15"/>
  <c r="I28" i="16"/>
  <c r="J28" i="16"/>
  <c r="N26" i="15"/>
  <c r="P24" i="16"/>
  <c r="C28" i="16"/>
  <c r="N28" i="16"/>
  <c r="M28" i="16"/>
  <c r="L26" i="15"/>
  <c r="F26" i="15"/>
  <c r="J26" i="15"/>
  <c r="P23" i="15"/>
  <c r="G26" i="15"/>
  <c r="G28" i="16"/>
  <c r="P8" i="15"/>
  <c r="D26" i="15"/>
  <c r="E28" i="16"/>
  <c r="C4" i="13"/>
  <c r="C5" i="13" s="1"/>
  <c r="P20" i="16"/>
  <c r="P18" i="16"/>
  <c r="P17" i="15"/>
  <c r="H24" i="15"/>
  <c r="H26" i="15" s="1"/>
  <c r="C26" i="15"/>
  <c r="M26" i="15"/>
  <c r="F28" i="16"/>
  <c r="P8" i="16"/>
  <c r="K26" i="15"/>
  <c r="D28" i="16"/>
  <c r="P19" i="15"/>
  <c r="P24" i="15" l="1"/>
  <c r="P26" i="15"/>
  <c r="P28" i="16"/>
  <c r="C3" i="13" s="1"/>
  <c r="P26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991 a été déjà versé Dans le salaire de Novembre
Pyé par Alenia</t>
        </r>
      </text>
    </comment>
    <comment ref="N18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son salaire
Payé par Alenia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9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Payé par Alenia</t>
        </r>
      </text>
    </comment>
  </commentList>
</comments>
</file>

<file path=xl/sharedStrings.xml><?xml version="1.0" encoding="utf-8"?>
<sst xmlns="http://schemas.openxmlformats.org/spreadsheetml/2006/main" count="76" uniqueCount="42">
  <si>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</si>
  <si>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</si>
  <si>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</si>
  <si>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</si>
  <si>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</si>
  <si>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</si>
  <si>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</si>
  <si>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</si>
  <si>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</si>
  <si>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</si>
  <si>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</si>
  <si>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</si>
  <si>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</si>
  <si>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</si>
  <si>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</si>
  <si>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</si>
  <si>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</si>
  <si>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</si>
  <si>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</si>
  <si>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</si>
  <si>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</si>
  <si>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</si>
  <si>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</si>
  <si>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</si>
  <si>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</si>
  <si>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</si>
  <si>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</si>
  <si>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</si>
  <si>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</si>
  <si>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</si>
  <si>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</si>
  <si>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</si>
  <si>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</si>
  <si>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</si>
  <si>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</si>
  <si>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</si>
  <si>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</si>
  <si>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</si>
  <si>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(Mai 2024)</t>
  </si>
  <si>
    <t>Solde Congé</t>
  </si>
  <si>
    <t>Maladie</t>
  </si>
  <si>
    <t>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</si>
</sst>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10" fontId="1" fillId="9" borderId="1" xfId="1" applyNumberFormat="1" applyFont="1" applyFill="1" applyBorder="1" applyAlignment="1">
      <alignment vertical="center"/>
    </xf>
    <xf numFmtId="0" fontId="0" fillId="0" borderId="11" xfId="0" applyBorder="1" applyProtection="1">
      <protection locked="0"/>
    </xf>
    <xf numFmtId="0" fontId="0" fillId="0" borderId="11" xfId="0" applyBorder="1"/>
    <xf numFmtId="4" fontId="4" fillId="4" borderId="12" xfId="0" applyNumberFormat="1" applyFont="1" applyFill="1" applyBorder="1"/>
    <xf numFmtId="0" fontId="0" fillId="0" borderId="12" xfId="0" applyBorder="1" applyProtection="1">
      <protection locked="0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7"/>
  <sheetViews>
    <sheetView workbookViewId="0">
      <selection activeCell="H3" sqref="H3:N3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">
      <c r="B6" s="8" t="s">
        <v>19</v>
      </c>
      <c r="C6" s="55"/>
      <c r="D6" s="55"/>
      <c r="E6" s="55"/>
      <c r="F6" s="32"/>
      <c r="G6" s="32"/>
      <c r="H6" s="32">
        <v>19</v>
      </c>
      <c r="I6" s="32">
        <v>19</v>
      </c>
      <c r="J6" s="32">
        <v>19</v>
      </c>
      <c r="K6" s="32">
        <v>19</v>
      </c>
      <c r="L6" s="32">
        <v>19</v>
      </c>
      <c r="M6" s="32">
        <v>19</v>
      </c>
      <c r="N6" s="32">
        <v>19</v>
      </c>
      <c r="O6" s="30"/>
      <c r="P6" s="51">
        <f>SUM(C6:N6)</f>
        <v>133</v>
      </c>
    </row>
    <row r="7" spans="2:16" x14ac:dyDescent="0.3">
      <c r="B7" s="8" t="s">
        <v>20</v>
      </c>
      <c r="C7" s="32"/>
      <c r="D7" s="32"/>
      <c r="E7" s="32"/>
      <c r="F7" s="32"/>
      <c r="G7" s="32"/>
      <c r="H7" s="32">
        <v>10</v>
      </c>
      <c r="I7" s="32">
        <v>23</v>
      </c>
      <c r="J7" s="32">
        <v>21</v>
      </c>
      <c r="K7" s="32">
        <v>19</v>
      </c>
      <c r="L7" s="32">
        <v>21</v>
      </c>
      <c r="M7" s="32">
        <v>14</v>
      </c>
      <c r="N7" s="32">
        <v>21</v>
      </c>
      <c r="O7" s="30"/>
      <c r="P7" s="51">
        <f>SUM(C7:N7)</f>
        <v>129</v>
      </c>
    </row>
    <row r="8" spans="2:16" x14ac:dyDescent="0.3">
      <c r="B8" s="16" t="s">
        <v>21</v>
      </c>
      <c r="C8" s="31">
        <f t="shared" ref="C8:N8" si="0">C7-C6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-9</v>
      </c>
      <c r="I8" s="31">
        <f t="shared" si="0"/>
        <v>4</v>
      </c>
      <c r="J8" s="31">
        <f t="shared" si="0"/>
        <v>2</v>
      </c>
      <c r="K8" s="31">
        <f t="shared" si="0"/>
        <v>0</v>
      </c>
      <c r="L8" s="31">
        <f t="shared" si="0"/>
        <v>2</v>
      </c>
      <c r="M8" s="31">
        <f t="shared" si="0"/>
        <v>-5</v>
      </c>
      <c r="N8" s="31">
        <f t="shared" si="0"/>
        <v>2</v>
      </c>
      <c r="O8" s="30"/>
      <c r="P8" s="51">
        <f>SUM(C8:N8)</f>
        <v>-4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">
      <c r="B11" s="8" t="s">
        <v>13</v>
      </c>
      <c r="C11" s="10"/>
      <c r="D11" s="10"/>
      <c r="E11" s="10"/>
      <c r="F11" s="10"/>
      <c r="G11" s="10">
        <v>9</v>
      </c>
      <c r="H11" s="10">
        <v>10</v>
      </c>
      <c r="I11" s="10">
        <v>23</v>
      </c>
      <c r="J11" s="10">
        <v>21</v>
      </c>
      <c r="K11" s="10">
        <v>19</v>
      </c>
      <c r="L11" s="10">
        <v>21</v>
      </c>
      <c r="M11" s="10">
        <v>14</v>
      </c>
      <c r="N11" s="10">
        <v>21</v>
      </c>
      <c r="P11" s="52">
        <f>SUM(C11:N11)</f>
        <v>138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>
        <v>1</v>
      </c>
      <c r="I12" s="11"/>
      <c r="J12" s="11"/>
      <c r="K12" s="11">
        <v>2</v>
      </c>
      <c r="L12" s="11">
        <v>2</v>
      </c>
      <c r="M12" s="11">
        <v>5</v>
      </c>
      <c r="N12" s="11"/>
      <c r="P12" s="52">
        <f>SUM(C12:N12)</f>
        <v>10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/>
      <c r="N14" s="20">
        <v>1</v>
      </c>
      <c r="P14" s="52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3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3">
      <c r="B17" s="8" t="s">
        <v>6</v>
      </c>
      <c r="C17" s="9"/>
      <c r="D17" s="9"/>
      <c r="E17" s="9"/>
      <c r="F17" s="9"/>
      <c r="G17" s="9">
        <f>G11*Params!$C$5*(1-Params!$C$3)-Params!$C$4</f>
        <v>4384.95</v>
      </c>
      <c r="H17" s="9">
        <f>H11*Params!$C$5*(1-Params!$C$3)-Params!$C$4</f>
        <v>4880.5</v>
      </c>
      <c r="I17" s="9">
        <f>I11*Params!$C$5*(1-Params!$C$3)-Params!$C$4</f>
        <v>11322.650000000001</v>
      </c>
      <c r="J17" s="9">
        <f>J11*Params!$C$5*(1-Params!$C$3)-Params!$C$4</f>
        <v>10331.550000000001</v>
      </c>
      <c r="K17" s="9">
        <f>K11*Params!$C$5*(1-Params!$C$3)-Params!$C$4</f>
        <v>9340.4500000000007</v>
      </c>
      <c r="L17" s="9">
        <f>L11*Params!$C$5*(1-Params!$C$3)-Params!$C$4</f>
        <v>10331.550000000001</v>
      </c>
      <c r="M17" s="9">
        <f>M11*Params!$C$5*(1-Params!$C$3)-Params!$C$4</f>
        <v>6862.7000000000007</v>
      </c>
      <c r="N17" s="9">
        <f>N11*Params!$C$5*(1-Params!$C$3)-Params!$C$4</f>
        <v>10331.550000000001</v>
      </c>
      <c r="O17" s="4"/>
      <c r="P17" s="36">
        <f>SUM(C17:N17)</f>
        <v>67785.900000000009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1328</v>
      </c>
      <c r="M18" s="9"/>
      <c r="N18" s="9">
        <v>905</v>
      </c>
      <c r="O18" s="4"/>
      <c r="P18" s="36">
        <f>SUM(C18:N18)</f>
        <v>2233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4384.95</v>
      </c>
      <c r="H19" s="25">
        <f t="shared" si="1"/>
        <v>4880.5</v>
      </c>
      <c r="I19" s="25">
        <f t="shared" si="1"/>
        <v>11322.650000000001</v>
      </c>
      <c r="J19" s="25">
        <f t="shared" si="1"/>
        <v>10331.550000000001</v>
      </c>
      <c r="K19" s="25">
        <f t="shared" si="1"/>
        <v>9340.4500000000007</v>
      </c>
      <c r="L19" s="25">
        <f t="shared" si="1"/>
        <v>11659.550000000001</v>
      </c>
      <c r="M19" s="25">
        <f t="shared" si="1"/>
        <v>6862.7000000000007</v>
      </c>
      <c r="N19" s="25">
        <f t="shared" si="1"/>
        <v>11236.550000000001</v>
      </c>
      <c r="O19" s="5"/>
      <c r="P19" s="37">
        <f>SUM(C19:O19)</f>
        <v>70018.900000000009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3">
      <c r="B22" s="8" t="s">
        <v>7</v>
      </c>
      <c r="C22" s="9"/>
      <c r="D22" s="9"/>
      <c r="E22" s="9"/>
      <c r="F22" s="9"/>
      <c r="G22" s="9">
        <v>0</v>
      </c>
      <c r="H22" s="9">
        <v>6765.16</v>
      </c>
      <c r="I22">
        <v>6765.16</v>
      </c>
      <c r="J22" s="9">
        <v>6765.16</v>
      </c>
      <c r="K22" s="9">
        <v>6495.36</v>
      </c>
      <c r="L22" s="9">
        <v>6495.36</v>
      </c>
      <c r="M22" s="9">
        <v>7117.2</v>
      </c>
      <c r="N22" s="9">
        <v>6495.36</v>
      </c>
      <c r="O22" s="4"/>
      <c r="P22" s="38">
        <f>SUM(C22:N22)</f>
        <v>46898.759999999995</v>
      </c>
    </row>
    <row r="23" spans="2:16" x14ac:dyDescent="0.3">
      <c r="B23" s="8" t="s">
        <v>8</v>
      </c>
      <c r="C23" s="9"/>
      <c r="D23" s="9"/>
      <c r="E23" s="9"/>
      <c r="F23" s="9"/>
      <c r="G23" s="9">
        <v>0</v>
      </c>
      <c r="H23" s="9">
        <f>1060.34+1784.71</f>
        <v>2845.05</v>
      </c>
      <c r="I23" s="9">
        <f>1060.34+1813.53</f>
        <v>2873.87</v>
      </c>
      <c r="J23" s="9">
        <f>1060.34+1787.22</f>
        <v>2847.56</v>
      </c>
      <c r="K23" s="9">
        <f>1060.34+1787.22</f>
        <v>2847.56</v>
      </c>
      <c r="L23" s="9">
        <f>1060.34+1792.47</f>
        <v>2852.81</v>
      </c>
      <c r="M23" s="9">
        <f>1200.5+2012.28</f>
        <v>3212.7799999999997</v>
      </c>
      <c r="N23" s="9">
        <f>1060.34+1800.36</f>
        <v>2860.7</v>
      </c>
      <c r="O23" s="4"/>
      <c r="P23" s="38">
        <f>SUM(C23:N23)</f>
        <v>20340.329999999998</v>
      </c>
    </row>
    <row r="24" spans="2:16" x14ac:dyDescent="0.3">
      <c r="B24" s="7" t="s">
        <v>3</v>
      </c>
      <c r="C24" s="39">
        <f t="shared" ref="C24:N24" si="2">SUM(C22:C23)</f>
        <v>0</v>
      </c>
      <c r="D24" s="39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39">
        <f t="shared" si="2"/>
        <v>9610.2099999999991</v>
      </c>
      <c r="I24" s="39">
        <f t="shared" si="2"/>
        <v>9639.0299999999988</v>
      </c>
      <c r="J24" s="39">
        <f t="shared" si="2"/>
        <v>9612.7199999999993</v>
      </c>
      <c r="K24" s="39">
        <f t="shared" si="2"/>
        <v>9342.92</v>
      </c>
      <c r="L24" s="39">
        <f t="shared" si="2"/>
        <v>9348.17</v>
      </c>
      <c r="M24" s="39">
        <f t="shared" si="2"/>
        <v>10329.98</v>
      </c>
      <c r="N24" s="39">
        <f t="shared" si="2"/>
        <v>9356.06</v>
      </c>
      <c r="O24" s="4"/>
      <c r="P24" s="40">
        <f>SUM(C24:N24)</f>
        <v>67239.09</v>
      </c>
    </row>
    <row r="25" spans="2:16" x14ac:dyDescent="0.3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2" t="s">
        <v>25</v>
      </c>
      <c r="C26" s="43">
        <f t="shared" ref="C26:N26" si="3">C19-C24</f>
        <v>0</v>
      </c>
      <c r="D26" s="43">
        <f t="shared" si="3"/>
        <v>0</v>
      </c>
      <c r="E26" s="43">
        <f t="shared" si="3"/>
        <v>0</v>
      </c>
      <c r="F26" s="43">
        <f t="shared" si="3"/>
        <v>0</v>
      </c>
      <c r="G26" s="43">
        <f t="shared" si="3"/>
        <v>4384.95</v>
      </c>
      <c r="H26" s="43">
        <f t="shared" si="3"/>
        <v>-4729.7099999999991</v>
      </c>
      <c r="I26" s="43">
        <f t="shared" si="3"/>
        <v>1683.6200000000026</v>
      </c>
      <c r="J26" s="43">
        <f t="shared" si="3"/>
        <v>718.83000000000175</v>
      </c>
      <c r="K26" s="43">
        <f t="shared" si="3"/>
        <v>-2.4699999999993452</v>
      </c>
      <c r="L26" s="43">
        <f t="shared" si="3"/>
        <v>2311.380000000001</v>
      </c>
      <c r="M26" s="43">
        <f t="shared" si="3"/>
        <v>-3467.2799999999988</v>
      </c>
      <c r="N26" s="43">
        <f t="shared" si="3"/>
        <v>1880.4900000000016</v>
      </c>
      <c r="P26" s="53">
        <f>SUM(C26:O26)</f>
        <v>2779.8100000000095</v>
      </c>
    </row>
    <row r="27" spans="2:16" x14ac:dyDescent="0.3">
      <c r="M27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8"/>
  <sheetViews>
    <sheetView zoomScaleNormal="100" workbookViewId="0">
      <selection activeCell="I28" sqref="I28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">
      <c r="B6" s="8" t="s">
        <v>19</v>
      </c>
      <c r="C6" s="55">
        <v>19</v>
      </c>
      <c r="D6" s="55">
        <v>19</v>
      </c>
      <c r="E6" s="55">
        <v>19</v>
      </c>
      <c r="F6" s="32">
        <v>19</v>
      </c>
      <c r="G6" s="32">
        <v>19</v>
      </c>
      <c r="H6" s="32">
        <v>19</v>
      </c>
      <c r="I6" s="32">
        <v>19</v>
      </c>
      <c r="J6" s="32"/>
      <c r="K6" s="32"/>
      <c r="L6" s="32"/>
      <c r="M6" s="32"/>
      <c r="N6" s="32"/>
      <c r="O6" s="30"/>
      <c r="P6" s="51">
        <f>SUM(C6:N6)</f>
        <v>133</v>
      </c>
    </row>
    <row r="7" spans="2:16" x14ac:dyDescent="0.3">
      <c r="B7" s="8" t="s">
        <v>20</v>
      </c>
      <c r="C7" s="32">
        <v>20</v>
      </c>
      <c r="D7" s="32">
        <v>20</v>
      </c>
      <c r="E7" s="32">
        <v>21</v>
      </c>
      <c r="F7" s="32">
        <v>15</v>
      </c>
      <c r="G7" s="32">
        <v>17</v>
      </c>
      <c r="H7" s="32">
        <v>20</v>
      </c>
      <c r="I7" s="32">
        <v>14</v>
      </c>
      <c r="J7" s="32"/>
      <c r="K7" s="32"/>
      <c r="L7" s="32"/>
      <c r="M7" s="32"/>
      <c r="N7" s="32"/>
      <c r="O7" s="30"/>
      <c r="P7" s="51">
        <f>SUM(C7:N7)</f>
        <v>127</v>
      </c>
    </row>
    <row r="8" spans="2:16" x14ac:dyDescent="0.3">
      <c r="B8" s="16" t="s">
        <v>21</v>
      </c>
      <c r="C8" s="31">
        <f t="shared" ref="C8:N8" si="0">C7-C6</f>
        <v>1</v>
      </c>
      <c r="D8" s="31">
        <f t="shared" si="0"/>
        <v>1</v>
      </c>
      <c r="E8" s="31">
        <f t="shared" si="0"/>
        <v>2</v>
      </c>
      <c r="F8" s="31">
        <f t="shared" si="0"/>
        <v>-4</v>
      </c>
      <c r="G8" s="31">
        <f t="shared" si="0"/>
        <v>-2</v>
      </c>
      <c r="H8" s="31">
        <f t="shared" si="0"/>
        <v>1</v>
      </c>
      <c r="I8" s="31">
        <f t="shared" si="0"/>
        <v>-5</v>
      </c>
      <c r="J8" s="31">
        <f t="shared" si="0"/>
        <v>0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0"/>
      <c r="P8" s="51">
        <f>SUM(C8:N8)</f>
        <v>-6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">
      <c r="B11" s="8" t="s">
        <v>13</v>
      </c>
      <c r="C11" s="10">
        <v>20</v>
      </c>
      <c r="D11" s="10">
        <v>20</v>
      </c>
      <c r="E11" s="10">
        <v>21</v>
      </c>
      <c r="F11" s="10">
        <v>13</v>
      </c>
      <c r="G11" s="10">
        <v>17</v>
      </c>
      <c r="H11" s="10">
        <v>20</v>
      </c>
      <c r="I11" s="10">
        <v>14</v>
      </c>
      <c r="J11" s="10"/>
      <c r="K11" s="10"/>
      <c r="L11" s="10"/>
      <c r="M11" s="10"/>
      <c r="N11" s="10"/>
      <c r="P11" s="52">
        <f>SUM(C11:N11)</f>
        <v>125</v>
      </c>
    </row>
    <row r="12" spans="2:16" x14ac:dyDescent="0.3">
      <c r="B12" s="8" t="s">
        <v>15</v>
      </c>
      <c r="C12" s="11">
        <v>2</v>
      </c>
      <c r="D12" s="11"/>
      <c r="E12" s="11"/>
      <c r="F12" s="11">
        <v>8</v>
      </c>
      <c r="G12" s="11">
        <v>2</v>
      </c>
      <c r="H12" s="11"/>
      <c r="I12" s="11"/>
      <c r="J12" s="11"/>
      <c r="K12" s="11"/>
      <c r="L12" s="11"/>
      <c r="M12" s="11"/>
      <c r="N12" s="11"/>
      <c r="P12" s="52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>
        <v>3</v>
      </c>
      <c r="J13" s="11"/>
      <c r="K13" s="11"/>
      <c r="L13" s="11"/>
      <c r="M13" s="11"/>
      <c r="N13" s="11"/>
      <c r="P13" s="52">
        <f>SUM(C13:N13)</f>
        <v>3</v>
      </c>
    </row>
    <row r="14" spans="2:16" x14ac:dyDescent="0.3">
      <c r="B14" s="60" t="s">
        <v>40</v>
      </c>
      <c r="C14" s="61"/>
      <c r="D14" s="61"/>
      <c r="E14" s="61"/>
      <c r="F14" s="61"/>
      <c r="G14" s="61"/>
      <c r="H14" s="61"/>
      <c r="I14" s="61">
        <v>6</v>
      </c>
      <c r="J14" s="61"/>
      <c r="K14" s="61"/>
      <c r="L14" s="61"/>
      <c r="M14" s="61"/>
      <c r="N14" s="61"/>
      <c r="P14" s="52">
        <f>SUM(C14:N14)</f>
        <v>6</v>
      </c>
    </row>
    <row r="15" spans="2:16" x14ac:dyDescent="0.3">
      <c r="B15" s="16" t="s">
        <v>14</v>
      </c>
      <c r="C15" s="20"/>
      <c r="D15" s="20"/>
      <c r="E15" s="20"/>
      <c r="F15" s="20">
        <v>2</v>
      </c>
      <c r="G15" s="20"/>
      <c r="H15" s="20"/>
      <c r="I15" s="20"/>
      <c r="J15" s="20"/>
      <c r="K15" s="20"/>
      <c r="L15" s="20"/>
      <c r="M15" s="20"/>
      <c r="N15" s="20"/>
      <c r="P15" s="52">
        <f>SUM(C15:N15)</f>
        <v>2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7"/>
    </row>
    <row r="17" spans="2:16" x14ac:dyDescent="0.3">
      <c r="B17" s="6" t="s">
        <v>0</v>
      </c>
      <c r="C17" s="57"/>
      <c r="D17" s="57"/>
      <c r="E17" s="57"/>
      <c r="F17" s="22"/>
      <c r="G17" s="57"/>
      <c r="H17" s="22"/>
      <c r="I17" s="57"/>
      <c r="J17" s="22"/>
      <c r="K17" s="57"/>
      <c r="L17" s="22"/>
      <c r="M17" s="57"/>
      <c r="N17" s="22"/>
      <c r="P17" s="48"/>
    </row>
    <row r="18" spans="2:16" x14ac:dyDescent="0.3">
      <c r="B18" s="8" t="s">
        <v>6</v>
      </c>
      <c r="C18" s="9">
        <f>C11*Params!$C$5*(1-Params!$C$3)-Params!$C$4</f>
        <v>9836</v>
      </c>
      <c r="D18" s="9">
        <f>D11*Params!$C$5*(1-Params!$C$3)-Params!$C$4</f>
        <v>9836</v>
      </c>
      <c r="E18" s="9">
        <f>E11*Params!$C$5*(1-Params!$C$3)-Params!$C$4</f>
        <v>10331.550000000001</v>
      </c>
      <c r="F18" s="9">
        <f>F11*Params!$C$5*(1-Params!$C$3)-Params!$C$4</f>
        <v>6367.1500000000005</v>
      </c>
      <c r="G18" s="9">
        <f>G11*Params!$C$5*(1-Params!$C$3)-Params!$C$4</f>
        <v>8349.35</v>
      </c>
      <c r="H18" s="9">
        <f>H11*Params!$C$5*(1-Params!$C$3)-Params!$C$4</f>
        <v>9836</v>
      </c>
      <c r="I18" s="9">
        <f>I11*Params!$C$5*(1-Params!$C$3)-Params!$C$4</f>
        <v>6862.7000000000007</v>
      </c>
      <c r="J18" s="9"/>
      <c r="K18" s="9"/>
      <c r="L18" s="9"/>
      <c r="M18" s="9"/>
      <c r="N18" s="9"/>
      <c r="O18" s="4"/>
      <c r="P18" s="36">
        <f>SUM(C18:N18)</f>
        <v>61418.75</v>
      </c>
    </row>
    <row r="19" spans="2:16" x14ac:dyDescent="0.3">
      <c r="B19" s="8" t="s">
        <v>14</v>
      </c>
      <c r="C19" s="9"/>
      <c r="D19" s="9"/>
      <c r="E19" s="9"/>
      <c r="F19" s="9">
        <v>1509</v>
      </c>
      <c r="G19" s="9"/>
      <c r="H19" s="9"/>
      <c r="I19" s="9"/>
      <c r="J19" s="9"/>
      <c r="K19" s="9"/>
      <c r="L19" s="9"/>
      <c r="M19" s="9"/>
      <c r="N19" s="9"/>
      <c r="O19" s="4"/>
      <c r="P19" s="36">
        <f>SUM(C19:N19)</f>
        <v>1509</v>
      </c>
    </row>
    <row r="20" spans="2:16" x14ac:dyDescent="0.3">
      <c r="B20" s="24" t="s">
        <v>2</v>
      </c>
      <c r="C20" s="25">
        <f t="shared" ref="C20:N20" si="1">SUM(C18:C19)</f>
        <v>9836</v>
      </c>
      <c r="D20" s="25">
        <f t="shared" si="1"/>
        <v>9836</v>
      </c>
      <c r="E20" s="25">
        <f t="shared" si="1"/>
        <v>10331.550000000001</v>
      </c>
      <c r="F20" s="25">
        <f t="shared" si="1"/>
        <v>7876.1500000000005</v>
      </c>
      <c r="G20" s="25">
        <f t="shared" si="1"/>
        <v>8349.35</v>
      </c>
      <c r="H20" s="25">
        <f t="shared" si="1"/>
        <v>9836</v>
      </c>
      <c r="I20" s="25">
        <f t="shared" si="1"/>
        <v>6862.7000000000007</v>
      </c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7">
        <f>SUM(C20:O20)</f>
        <v>62927.75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8"/>
      <c r="D22" s="58"/>
      <c r="E22" s="58"/>
      <c r="F22" s="28"/>
      <c r="G22" s="58"/>
      <c r="H22" s="28"/>
      <c r="I22" s="58"/>
      <c r="J22" s="28"/>
      <c r="K22" s="58"/>
      <c r="L22" s="28"/>
      <c r="M22" s="58"/>
      <c r="N22" s="28"/>
      <c r="O22" s="4"/>
      <c r="P22" s="49"/>
    </row>
    <row r="23" spans="2:16" x14ac:dyDescent="0.3">
      <c r="B23" s="8" t="s">
        <v>7</v>
      </c>
      <c r="C23" s="9">
        <v>6516.42</v>
      </c>
      <c r="D23" s="9">
        <v>6516.42</v>
      </c>
      <c r="E23" s="9">
        <v>6516.42</v>
      </c>
      <c r="F23" s="9">
        <v>6516.42</v>
      </c>
      <c r="G23" s="9">
        <v>6707.41</v>
      </c>
      <c r="H23" s="9">
        <v>6633.93</v>
      </c>
      <c r="I23" s="62">
        <v>4748</v>
      </c>
      <c r="J23" s="9"/>
      <c r="K23" s="9"/>
      <c r="L23" s="9"/>
      <c r="M23" s="9"/>
      <c r="N23" s="9"/>
      <c r="O23" s="4"/>
      <c r="P23" s="38">
        <f>SUM(C23:N23)</f>
        <v>44155.02</v>
      </c>
    </row>
    <row r="24" spans="2:16" x14ac:dyDescent="0.3">
      <c r="B24" s="8" t="s">
        <v>8</v>
      </c>
      <c r="C24" s="9">
        <f>1065.88+1791.99</f>
        <v>2857.87</v>
      </c>
      <c r="D24" s="9">
        <f>1065.88+1797.24</f>
        <v>2863.12</v>
      </c>
      <c r="E24" s="9">
        <f>1065.88+1791.99</f>
        <v>2857.87</v>
      </c>
      <c r="F24" s="9">
        <f>1065.88+1791.99</f>
        <v>2857.87</v>
      </c>
      <c r="G24" s="9">
        <f>1108.89+1882.15</f>
        <v>2991.04</v>
      </c>
      <c r="H24" s="9">
        <f>1092.37+1839.79</f>
        <v>2932.16</v>
      </c>
      <c r="I24" s="9">
        <f>710.16+1178.34</f>
        <v>1888.5</v>
      </c>
      <c r="J24" s="9"/>
      <c r="K24" s="9"/>
      <c r="L24" s="9"/>
      <c r="M24" s="9"/>
      <c r="N24" s="9"/>
      <c r="O24" s="4"/>
      <c r="P24" s="38">
        <f>SUM(C24:N24)</f>
        <v>19248.43</v>
      </c>
    </row>
    <row r="25" spans="2:16" x14ac:dyDescent="0.3">
      <c r="B25" s="63" t="s">
        <v>41</v>
      </c>
      <c r="C25" s="62"/>
      <c r="D25" s="62"/>
      <c r="E25" s="62"/>
      <c r="F25" s="62"/>
      <c r="G25" s="62"/>
      <c r="H25" s="62"/>
      <c r="I25" s="62">
        <v>2035.99</v>
      </c>
      <c r="J25" s="62"/>
      <c r="K25" s="62"/>
      <c r="L25" s="62"/>
      <c r="M25" s="62"/>
      <c r="N25" s="62"/>
      <c r="O25" s="4"/>
      <c r="P25" s="38"/>
    </row>
    <row r="26" spans="2:16" x14ac:dyDescent="0.3">
      <c r="B26" s="7" t="s">
        <v>3</v>
      </c>
      <c r="C26" s="39">
        <f>SUM(C23:C25)</f>
        <v>9374.2900000000009</v>
      </c>
      <c r="D26" s="39">
        <f t="shared" ref="D26:N26" si="2">SUM(D23:D25)</f>
        <v>9379.5400000000009</v>
      </c>
      <c r="E26" s="39">
        <f t="shared" si="2"/>
        <v>9374.2900000000009</v>
      </c>
      <c r="F26" s="39">
        <f t="shared" si="2"/>
        <v>9374.2900000000009</v>
      </c>
      <c r="G26" s="39">
        <f t="shared" si="2"/>
        <v>9698.4500000000007</v>
      </c>
      <c r="H26" s="39">
        <f t="shared" si="2"/>
        <v>9566.09</v>
      </c>
      <c r="I26" s="39">
        <f t="shared" si="2"/>
        <v>8672.49</v>
      </c>
      <c r="J26" s="39">
        <f t="shared" si="2"/>
        <v>0</v>
      </c>
      <c r="K26" s="39">
        <f t="shared" si="2"/>
        <v>0</v>
      </c>
      <c r="L26" s="39">
        <f t="shared" si="2"/>
        <v>0</v>
      </c>
      <c r="M26" s="39">
        <f t="shared" si="2"/>
        <v>0</v>
      </c>
      <c r="N26" s="39">
        <f t="shared" si="2"/>
        <v>0</v>
      </c>
      <c r="O26" s="4"/>
      <c r="P26" s="40">
        <f>SUM(C26:N26)</f>
        <v>65439.439999999995</v>
      </c>
    </row>
    <row r="27" spans="2:16" x14ac:dyDescent="0.3">
      <c r="B27" s="4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2" t="s">
        <v>25</v>
      </c>
      <c r="C28" s="43">
        <f t="shared" ref="C28:N28" si="3">C20-C26</f>
        <v>461.70999999999913</v>
      </c>
      <c r="D28" s="43">
        <f t="shared" si="3"/>
        <v>456.45999999999913</v>
      </c>
      <c r="E28" s="43">
        <f t="shared" si="3"/>
        <v>957.26000000000022</v>
      </c>
      <c r="F28" s="43">
        <f t="shared" si="3"/>
        <v>-1498.1400000000003</v>
      </c>
      <c r="G28" s="43">
        <f t="shared" si="3"/>
        <v>-1349.1000000000004</v>
      </c>
      <c r="H28" s="43">
        <f t="shared" si="3"/>
        <v>269.90999999999985</v>
      </c>
      <c r="I28" s="43">
        <f t="shared" si="3"/>
        <v>-1809.7899999999991</v>
      </c>
      <c r="J28" s="43">
        <f t="shared" si="3"/>
        <v>0</v>
      </c>
      <c r="K28" s="43">
        <f t="shared" si="3"/>
        <v>0</v>
      </c>
      <c r="L28" s="43">
        <f t="shared" si="3"/>
        <v>0</v>
      </c>
      <c r="M28" s="43">
        <f t="shared" si="3"/>
        <v>0</v>
      </c>
      <c r="N28" s="43">
        <f t="shared" si="3"/>
        <v>0</v>
      </c>
      <c r="P28" s="53">
        <f>SUM(C28:O28)</f>
        <v>-2511.6900000000014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 r:id="rId1"/>
  <ignoredErrors>
    <ignoredError sqref="D24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9" sqref="C9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22</v>
      </c>
      <c r="C2" s="67"/>
    </row>
    <row r="3" spans="2:3" ht="30" customHeight="1" x14ac:dyDescent="0.3">
      <c r="B3" s="29" t="s">
        <v>11</v>
      </c>
      <c r="C3" s="59">
        <v>6.5000000000000002E-2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zoomScale="115" zoomScaleNormal="115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23</v>
      </c>
      <c r="C2" s="68"/>
    </row>
    <row r="3" spans="2:3" ht="16.95" customHeight="1" x14ac:dyDescent="0.3">
      <c r="B3" s="33" t="s">
        <v>24</v>
      </c>
      <c r="C3" s="34">
        <f>'2024'!P26+'2025'!P28</f>
        <v>268.12000000000808</v>
      </c>
    </row>
    <row r="4" spans="2:3" ht="16.95" customHeight="1" x14ac:dyDescent="0.3">
      <c r="B4" s="33" t="s">
        <v>26</v>
      </c>
      <c r="C4" s="35">
        <f>SUM('2024'!P12)+'2025'!P12</f>
        <v>22</v>
      </c>
    </row>
    <row r="5" spans="2:3" x14ac:dyDescent="0.3">
      <c r="B5" t="s">
        <v>39</v>
      </c>
      <c r="C5">
        <f>(14*2.08)-C4</f>
        <v>7.120000000000001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2025-08-07T23:45:48Z</dcterms:modified>
</cp:coreProperties>
</file>