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D3F58AB8-11E7-4AD3-A29B-9257011EF9F0}" xr6:coauthVersionLast="47" xr6:coauthVersionMax="47" xr10:uidLastSave="{00000000-0000-0000-0000-000000000000}"/>
  <bookViews>
    <workbookView xWindow="-108" yWindow="-108" windowWidth="23256" windowHeight="14856" activeTab="5" xr2:uid="{00000000-000D-0000-FFFF-FFFF00000000}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 localSheetId="3">'2025'!$B$16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 localSheetId="3">'2025'!$B$15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 localSheetId="3">'2025'!$B$18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 localSheetId="3">'2025'!$B$20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 localSheetId="3">'2025'!$B$19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FRAIS_KM" localSheetId="3">'2025'!$B$36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MBRE_KM" localSheetId="3">'2025'!$B$35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LDE" localSheetId="3">'2025'!$B$33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 localSheetId="3">'2025'!$B$23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 localSheetId="3">'2025'!$B$25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KM" localSheetId="3">'2025'!$B$26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 localSheetId="3">'2025'!$B$24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 localSheetId="3">'2025'!$B$21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 localSheetId="3">'2025'!$B$29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5" i="16" l="1"/>
  <c r="I19" i="16"/>
  <c r="H25" i="16" l="1"/>
  <c r="H19" i="16"/>
  <c r="G25" i="16" l="1"/>
  <c r="G19" i="16"/>
  <c r="F25" i="16" l="1"/>
  <c r="F19" i="16"/>
  <c r="P36" i="16" l="1"/>
  <c r="P35" i="16"/>
  <c r="P38" i="16" s="1"/>
  <c r="P31" i="16"/>
  <c r="N29" i="16"/>
  <c r="M29" i="16"/>
  <c r="L29" i="16"/>
  <c r="K29" i="16"/>
  <c r="J29" i="16"/>
  <c r="I29" i="16"/>
  <c r="H29" i="16"/>
  <c r="G29" i="16"/>
  <c r="F29" i="16"/>
  <c r="P28" i="16"/>
  <c r="P27" i="16"/>
  <c r="P26" i="16"/>
  <c r="E25" i="16"/>
  <c r="P25" i="16" s="1"/>
  <c r="D25" i="16"/>
  <c r="D29" i="16" s="1"/>
  <c r="C25" i="16"/>
  <c r="C29" i="16" s="1"/>
  <c r="P24" i="16"/>
  <c r="N21" i="16"/>
  <c r="N33" i="16" s="1"/>
  <c r="M21" i="16"/>
  <c r="M33" i="16" s="1"/>
  <c r="L21" i="16"/>
  <c r="K21" i="16"/>
  <c r="K33" i="16" s="1"/>
  <c r="J21" i="16"/>
  <c r="J33" i="16" s="1"/>
  <c r="I21" i="16"/>
  <c r="H21" i="16"/>
  <c r="H33" i="16" s="1"/>
  <c r="G21" i="16"/>
  <c r="F21" i="16"/>
  <c r="P20" i="16"/>
  <c r="E19" i="16"/>
  <c r="E21" i="16" s="1"/>
  <c r="D19" i="16"/>
  <c r="D21" i="16" s="1"/>
  <c r="D33" i="16" s="1"/>
  <c r="C19" i="16"/>
  <c r="C21" i="16" s="1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6" i="15"/>
  <c r="P35" i="15"/>
  <c r="P38" i="15" s="1"/>
  <c r="P31" i="15"/>
  <c r="P28" i="15"/>
  <c r="C27" i="15"/>
  <c r="P27" i="15" s="1"/>
  <c r="P26" i="15"/>
  <c r="N25" i="15"/>
  <c r="N29" i="15" s="1"/>
  <c r="M25" i="15"/>
  <c r="M29" i="15" s="1"/>
  <c r="L25" i="15"/>
  <c r="L29" i="15" s="1"/>
  <c r="K25" i="15"/>
  <c r="K29" i="15" s="1"/>
  <c r="J25" i="15"/>
  <c r="J29" i="15" s="1"/>
  <c r="I25" i="15"/>
  <c r="I29" i="15" s="1"/>
  <c r="H25" i="15"/>
  <c r="H29" i="15" s="1"/>
  <c r="G25" i="15"/>
  <c r="G29" i="15" s="1"/>
  <c r="F25" i="15"/>
  <c r="F29" i="15" s="1"/>
  <c r="E25" i="15"/>
  <c r="E29" i="15" s="1"/>
  <c r="D25" i="15"/>
  <c r="D29" i="15" s="1"/>
  <c r="C25" i="15"/>
  <c r="P24" i="15"/>
  <c r="P20" i="15"/>
  <c r="N19" i="15"/>
  <c r="N21" i="15" s="1"/>
  <c r="M19" i="15"/>
  <c r="M21" i="15" s="1"/>
  <c r="L19" i="15"/>
  <c r="L21" i="15" s="1"/>
  <c r="L33" i="15" s="1"/>
  <c r="K19" i="15"/>
  <c r="K21" i="15" s="1"/>
  <c r="K33" i="15" s="1"/>
  <c r="J19" i="15"/>
  <c r="J21" i="15" s="1"/>
  <c r="I19" i="15"/>
  <c r="I21" i="15" s="1"/>
  <c r="I33" i="15" s="1"/>
  <c r="H19" i="15"/>
  <c r="H21" i="15" s="1"/>
  <c r="G19" i="15"/>
  <c r="G21" i="15" s="1"/>
  <c r="F19" i="15"/>
  <c r="F21" i="15" s="1"/>
  <c r="E19" i="15"/>
  <c r="E21" i="15" s="1"/>
  <c r="D19" i="15"/>
  <c r="D21" i="15" s="1"/>
  <c r="C19" i="15"/>
  <c r="C21" i="15" s="1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6" i="14"/>
  <c r="P35" i="14"/>
  <c r="P31" i="14"/>
  <c r="J29" i="14"/>
  <c r="P28" i="14"/>
  <c r="P27" i="14"/>
  <c r="P26" i="14"/>
  <c r="P25" i="14"/>
  <c r="N24" i="14"/>
  <c r="N29" i="14" s="1"/>
  <c r="M24" i="14"/>
  <c r="M29" i="14" s="1"/>
  <c r="L24" i="14"/>
  <c r="L29" i="14" s="1"/>
  <c r="K24" i="14"/>
  <c r="K29" i="14" s="1"/>
  <c r="J24" i="14"/>
  <c r="I24" i="14"/>
  <c r="I29" i="14" s="1"/>
  <c r="H24" i="14"/>
  <c r="H29" i="14" s="1"/>
  <c r="G24" i="14"/>
  <c r="G29" i="14" s="1"/>
  <c r="F24" i="14"/>
  <c r="F29" i="14" s="1"/>
  <c r="E24" i="14"/>
  <c r="E29" i="14" s="1"/>
  <c r="D24" i="14"/>
  <c r="C24" i="14"/>
  <c r="C29" i="14" s="1"/>
  <c r="P23" i="14"/>
  <c r="P19" i="14"/>
  <c r="P18" i="14"/>
  <c r="N17" i="14"/>
  <c r="N20" i="14" s="1"/>
  <c r="M17" i="14"/>
  <c r="M20" i="14" s="1"/>
  <c r="L17" i="14"/>
  <c r="L20" i="14" s="1"/>
  <c r="L33" i="14" s="1"/>
  <c r="K17" i="14"/>
  <c r="K20" i="14" s="1"/>
  <c r="J17" i="14"/>
  <c r="J20" i="14" s="1"/>
  <c r="I17" i="14"/>
  <c r="I20" i="14" s="1"/>
  <c r="H17" i="14"/>
  <c r="H20" i="14" s="1"/>
  <c r="G17" i="14"/>
  <c r="G20" i="14" s="1"/>
  <c r="F17" i="14"/>
  <c r="F20" i="14" s="1"/>
  <c r="E17" i="14"/>
  <c r="E20" i="14" s="1"/>
  <c r="D17" i="14"/>
  <c r="D20" i="14" s="1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3" i="12"/>
  <c r="P32" i="12"/>
  <c r="P28" i="12"/>
  <c r="L26" i="12"/>
  <c r="K26" i="12"/>
  <c r="J26" i="12"/>
  <c r="I26" i="12"/>
  <c r="H26" i="12"/>
  <c r="G26" i="12"/>
  <c r="F26" i="12"/>
  <c r="E26" i="12"/>
  <c r="D26" i="12"/>
  <c r="C26" i="12"/>
  <c r="P25" i="12"/>
  <c r="P24" i="12"/>
  <c r="N23" i="12"/>
  <c r="N26" i="12" s="1"/>
  <c r="M23" i="12"/>
  <c r="M26" i="12" s="1"/>
  <c r="P22" i="12"/>
  <c r="N19" i="12"/>
  <c r="M19" i="12"/>
  <c r="L19" i="12"/>
  <c r="K19" i="12"/>
  <c r="J19" i="12"/>
  <c r="I19" i="12"/>
  <c r="H19" i="12"/>
  <c r="H30" i="12" s="1"/>
  <c r="G19" i="12"/>
  <c r="F19" i="12"/>
  <c r="F30" i="12" s="1"/>
  <c r="E19" i="12"/>
  <c r="D19" i="12"/>
  <c r="C19" i="12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E30" i="12" l="1"/>
  <c r="M30" i="12"/>
  <c r="J33" i="14"/>
  <c r="L33" i="16"/>
  <c r="I33" i="16"/>
  <c r="K30" i="12"/>
  <c r="P8" i="15"/>
  <c r="N33" i="15"/>
  <c r="C4" i="13"/>
  <c r="C5" i="13" s="1"/>
  <c r="J30" i="12"/>
  <c r="P8" i="12"/>
  <c r="G30" i="12"/>
  <c r="E33" i="14"/>
  <c r="P19" i="16"/>
  <c r="I30" i="12"/>
  <c r="I33" i="14"/>
  <c r="D33" i="15"/>
  <c r="P8" i="14"/>
  <c r="P17" i="14"/>
  <c r="F33" i="15"/>
  <c r="C33" i="15"/>
  <c r="N30" i="12"/>
  <c r="P26" i="12"/>
  <c r="M33" i="14"/>
  <c r="K33" i="14"/>
  <c r="G33" i="16"/>
  <c r="P23" i="12"/>
  <c r="F33" i="14"/>
  <c r="N33" i="14"/>
  <c r="C30" i="12"/>
  <c r="G33" i="14"/>
  <c r="P39" i="15"/>
  <c r="C33" i="14"/>
  <c r="P19" i="15"/>
  <c r="D30" i="12"/>
  <c r="L30" i="12"/>
  <c r="H33" i="14"/>
  <c r="P24" i="14"/>
  <c r="G33" i="15"/>
  <c r="P25" i="15"/>
  <c r="C29" i="15"/>
  <c r="P29" i="15" s="1"/>
  <c r="P39" i="16"/>
  <c r="P8" i="16"/>
  <c r="F33" i="16"/>
  <c r="H33" i="15"/>
  <c r="P21" i="16"/>
  <c r="J33" i="15"/>
  <c r="E33" i="15"/>
  <c r="M33" i="15"/>
  <c r="P19" i="12"/>
  <c r="E29" i="16"/>
  <c r="E33" i="16" s="1"/>
  <c r="D29" i="14"/>
  <c r="P29" i="14" s="1"/>
  <c r="C33" i="16"/>
  <c r="P21" i="15"/>
  <c r="P20" i="14"/>
  <c r="P30" i="12" l="1"/>
  <c r="P33" i="15"/>
  <c r="P29" i="16"/>
  <c r="D33" i="14"/>
  <c r="P33" i="14" s="1"/>
  <c r="P33" i="16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M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C2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partir de Juin 2024 </t>
        </r>
      </text>
    </comment>
    <comment ref="M2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D31" authorId="1" shapeId="0" xr:uid="{00000000-0006-0000-0100-000006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  <comment ref="F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a partir du 12/2024 1000E/mois</t>
        </r>
      </text>
    </comment>
    <comment ref="M2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1000£/ mois après du remboursement de l'acompte actuel</t>
        </r>
      </text>
    </comment>
  </commentList>
</comments>
</file>

<file path=xl/sharedStrings.xml><?xml version="1.0" encoding="utf-8"?>
<sst xmlns="http://schemas.openxmlformats.org/spreadsheetml/2006/main" count="175" uniqueCount="55">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</sst>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2" borderId="1" xfId="0" applyFill="1" applyBorder="1" applyAlignment="1">
      <alignment horizontal="center"/>
    </xf>
    <xf numFmtId="4" fontId="4" fillId="0" borderId="2" xfId="0" applyNumberFormat="1" applyFont="1" applyBorder="1"/>
    <xf numFmtId="4" fontId="4" fillId="13" borderId="2" xfId="0" applyNumberFormat="1" applyFont="1" applyFill="1" applyBorder="1"/>
    <xf numFmtId="4" fontId="4" fillId="13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C1" workbookViewId="0">
      <selection activeCell="M25" sqref="M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3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71">
        <v>2000</v>
      </c>
      <c r="N25" s="56"/>
      <c r="O25" s="4"/>
      <c r="P25" s="43">
        <f>SUM(C25:N25)</f>
        <v>2000</v>
      </c>
    </row>
    <row r="26" spans="2:16" x14ac:dyDescent="0.3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5" t="s">
        <v>42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9">
        <v>500</v>
      </c>
      <c r="P28" s="67">
        <f>SUM(C28:N28)</f>
        <v>500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3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3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A3" workbookViewId="0">
      <selection activeCell="M20" sqref="M20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3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3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3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3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3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3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3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72">
        <v>6000</v>
      </c>
      <c r="M28" s="72">
        <v>3000</v>
      </c>
      <c r="N28" s="10"/>
      <c r="O28" s="4"/>
      <c r="P28" s="43">
        <f t="shared" si="2"/>
        <v>9000</v>
      </c>
    </row>
    <row r="29" spans="2:16" x14ac:dyDescent="0.3">
      <c r="B29" s="68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3">
      <c r="B31" s="65" t="s">
        <v>42</v>
      </c>
      <c r="C31" s="66"/>
      <c r="D31" s="69">
        <v>500</v>
      </c>
      <c r="E31" s="66">
        <v>500</v>
      </c>
      <c r="F31" s="66">
        <v>500</v>
      </c>
      <c r="G31" s="66"/>
      <c r="H31" s="66"/>
      <c r="I31" s="66"/>
      <c r="J31" s="66"/>
      <c r="K31" s="66"/>
      <c r="L31" s="66"/>
      <c r="M31" s="66">
        <v>3000</v>
      </c>
      <c r="N31" s="66"/>
      <c r="P31" s="67">
        <f>SUM(C31:N31)</f>
        <v>4500</v>
      </c>
    </row>
    <row r="33" spans="2:16" x14ac:dyDescent="0.3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3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3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3">
      <c r="P37"/>
    </row>
    <row r="38" spans="2:16" x14ac:dyDescent="0.3">
      <c r="P38"/>
    </row>
    <row r="39" spans="2:16" x14ac:dyDescent="0.3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9"/>
  <sheetViews>
    <sheetView workbookViewId="0">
      <selection activeCell="I31" sqref="I31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21</v>
      </c>
      <c r="D7" s="37">
        <v>21</v>
      </c>
      <c r="E7" s="37">
        <v>11</v>
      </c>
      <c r="F7" s="37">
        <v>14</v>
      </c>
      <c r="G7" s="37">
        <v>19</v>
      </c>
      <c r="H7" s="37">
        <v>17</v>
      </c>
      <c r="I7" s="37">
        <v>23</v>
      </c>
      <c r="J7" s="37">
        <v>21</v>
      </c>
      <c r="K7" s="37">
        <v>10</v>
      </c>
      <c r="L7" s="37">
        <v>22</v>
      </c>
      <c r="M7" s="37">
        <v>18</v>
      </c>
      <c r="N7" s="37">
        <v>19</v>
      </c>
      <c r="O7" s="36"/>
      <c r="P7" s="58">
        <f>SUM(C7:N7)</f>
        <v>216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-5</v>
      </c>
      <c r="G8" s="64">
        <f t="shared" si="0"/>
        <v>0</v>
      </c>
      <c r="H8" s="64">
        <f t="shared" si="0"/>
        <v>-2</v>
      </c>
      <c r="I8" s="64">
        <f t="shared" si="0"/>
        <v>4</v>
      </c>
      <c r="J8" s="64">
        <f t="shared" si="0"/>
        <v>2</v>
      </c>
      <c r="K8" s="64">
        <f t="shared" si="0"/>
        <v>-9</v>
      </c>
      <c r="L8" s="64">
        <f t="shared" si="0"/>
        <v>3</v>
      </c>
      <c r="M8" s="64">
        <f t="shared" si="0"/>
        <v>-1</v>
      </c>
      <c r="N8" s="64">
        <f t="shared" si="0"/>
        <v>0</v>
      </c>
      <c r="O8" s="36"/>
      <c r="P8" s="58">
        <f>SUM(C8:N8)</f>
        <v>-12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21</v>
      </c>
      <c r="E11" s="11">
        <v>11</v>
      </c>
      <c r="F11" s="11">
        <v>14</v>
      </c>
      <c r="G11" s="11">
        <v>19</v>
      </c>
      <c r="H11" s="11">
        <v>17</v>
      </c>
      <c r="I11" s="11">
        <v>23</v>
      </c>
      <c r="J11" s="11">
        <v>21</v>
      </c>
      <c r="K11" s="11">
        <v>10</v>
      </c>
      <c r="L11" s="11">
        <v>22</v>
      </c>
      <c r="M11" s="11">
        <v>18.5</v>
      </c>
      <c r="N11" s="11">
        <v>19</v>
      </c>
      <c r="P11" s="59">
        <f t="shared" ref="P11:P16" si="1">SUM(C11:N11)</f>
        <v>216.5</v>
      </c>
    </row>
    <row r="12" spans="2:16" x14ac:dyDescent="0.3">
      <c r="B12" s="9" t="s">
        <v>16</v>
      </c>
      <c r="C12" s="12">
        <v>1</v>
      </c>
      <c r="D12" s="12"/>
      <c r="E12" s="12">
        <v>0</v>
      </c>
      <c r="F12" s="12">
        <v>0</v>
      </c>
      <c r="G12" s="12">
        <v>1</v>
      </c>
      <c r="H12" s="12">
        <v>3</v>
      </c>
      <c r="I12" s="12"/>
      <c r="J12" s="12">
        <v>0</v>
      </c>
      <c r="K12" s="12">
        <v>9</v>
      </c>
      <c r="L12" s="12">
        <v>1</v>
      </c>
      <c r="M12" s="12">
        <v>0.5</v>
      </c>
      <c r="N12" s="12">
        <v>2</v>
      </c>
      <c r="P12" s="59">
        <f t="shared" si="1"/>
        <v>17.5</v>
      </c>
    </row>
    <row r="13" spans="2:16" x14ac:dyDescent="0.3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3</v>
      </c>
    </row>
    <row r="14" spans="2:16" x14ac:dyDescent="0.3">
      <c r="B14" s="9" t="s">
        <v>50</v>
      </c>
      <c r="C14" s="12"/>
      <c r="D14" s="12"/>
      <c r="E14" s="12">
        <v>9</v>
      </c>
      <c r="F14" s="12">
        <v>9</v>
      </c>
      <c r="G14" s="12"/>
      <c r="H14" s="12"/>
      <c r="I14" s="12"/>
      <c r="J14" s="12">
        <v>4</v>
      </c>
      <c r="K14" s="12">
        <v>3</v>
      </c>
      <c r="L14" s="12"/>
      <c r="M14" s="12"/>
      <c r="N14" s="12"/>
      <c r="P14" s="59">
        <f t="shared" si="1"/>
        <v>25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>
        <f>F11*Params!$C$7*(1-Params!$C$3)-Params!$C$4</f>
        <v>8297</v>
      </c>
      <c r="G19" s="10">
        <f>G11*Params!$C$7*(1-Params!$C$3)-Params!$C$4</f>
        <v>11287</v>
      </c>
      <c r="H19" s="10">
        <f>H11*Params!$C$7*(1-Params!$C$3)-Params!$C$4</f>
        <v>10091</v>
      </c>
      <c r="I19" s="10">
        <f>I11*Params!$C$7*(1-Params!$C$3)-Params!$C$4</f>
        <v>13679</v>
      </c>
      <c r="J19" s="10">
        <f>J11*Params!$C$7*(1-Params!$C$3)-Params!$C$4</f>
        <v>12483</v>
      </c>
      <c r="K19" s="10">
        <f>K11*Params!$C$7*(1-Params!$C$3)-Params!$C$4</f>
        <v>5905</v>
      </c>
      <c r="L19" s="10">
        <f>L11*Params!$C$7*(1-Params!$C$3)-Params!$C$4</f>
        <v>13081</v>
      </c>
      <c r="M19" s="10">
        <f>M11*Params!$C$7*(1-Params!$C$3)-Params!$C$4</f>
        <v>10988</v>
      </c>
      <c r="N19" s="10">
        <f>N11*Params!$C$7*(1-Params!$C$3)-Params!$C$4</f>
        <v>11287</v>
      </c>
      <c r="O19" s="4"/>
      <c r="P19" s="41">
        <f>SUM(C19:N19)</f>
        <v>128567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12483</v>
      </c>
      <c r="D21" s="28">
        <f t="shared" si="2"/>
        <v>12483</v>
      </c>
      <c r="E21" s="28">
        <f t="shared" si="2"/>
        <v>6503</v>
      </c>
      <c r="F21" s="28">
        <f t="shared" si="2"/>
        <v>8297</v>
      </c>
      <c r="G21" s="28">
        <f t="shared" si="2"/>
        <v>11287</v>
      </c>
      <c r="H21" s="28">
        <f t="shared" si="2"/>
        <v>10091</v>
      </c>
      <c r="I21" s="28">
        <f t="shared" si="2"/>
        <v>13679</v>
      </c>
      <c r="J21" s="28">
        <f t="shared" si="2"/>
        <v>12483</v>
      </c>
      <c r="K21" s="28">
        <f t="shared" si="2"/>
        <v>5905</v>
      </c>
      <c r="L21" s="28">
        <f t="shared" si="2"/>
        <v>13081</v>
      </c>
      <c r="M21" s="28">
        <f t="shared" si="2"/>
        <v>10988</v>
      </c>
      <c r="N21" s="28">
        <f t="shared" si="2"/>
        <v>11287</v>
      </c>
      <c r="O21" s="5"/>
      <c r="P21" s="42">
        <f>SUM(C21:O21)</f>
        <v>128567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5966.71</v>
      </c>
      <c r="D24" s="10">
        <v>5966.71</v>
      </c>
      <c r="E24" s="10">
        <v>4088.44</v>
      </c>
      <c r="F24" s="10">
        <v>4389.18</v>
      </c>
      <c r="G24" s="10">
        <v>5887.36</v>
      </c>
      <c r="H24" s="10">
        <v>4887.3599999999997</v>
      </c>
      <c r="I24" s="10">
        <v>4887.3599999999997</v>
      </c>
      <c r="J24" s="10">
        <v>5512.82</v>
      </c>
      <c r="K24" s="10">
        <v>4606.4399999999996</v>
      </c>
      <c r="L24" s="10">
        <v>4887.3599999999997</v>
      </c>
      <c r="M24" s="10">
        <v>4887.3599999999997</v>
      </c>
      <c r="N24" s="10">
        <v>5152.49</v>
      </c>
      <c r="O24" s="4"/>
      <c r="P24" s="43">
        <f t="shared" ref="P24:P29" si="3">SUM(C24:N24)</f>
        <v>61119.590000000004</v>
      </c>
    </row>
    <row r="25" spans="2:16" x14ac:dyDescent="0.3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>
        <f>1061.92+1823.12</f>
        <v>2885.04</v>
      </c>
      <c r="G25" s="10">
        <f>1437.42+2574.63</f>
        <v>4012.05</v>
      </c>
      <c r="H25" s="10">
        <f>1437.42+2575.45</f>
        <v>4012.87</v>
      </c>
      <c r="I25" s="10">
        <f>1437.42+2580.17</f>
        <v>4017.59</v>
      </c>
      <c r="J25" s="10">
        <f>1343.53+2389.55</f>
        <v>3733.08</v>
      </c>
      <c r="K25" s="10">
        <f>1366.96+2436.56</f>
        <v>3803.52</v>
      </c>
      <c r="L25" s="10">
        <f>1437.42+2585.15</f>
        <v>4022.57</v>
      </c>
      <c r="M25" s="10">
        <f>1437.42+2578.5</f>
        <v>4015.92</v>
      </c>
      <c r="N25" s="10">
        <f>1501.01+2691.63</f>
        <v>4192.6400000000003</v>
      </c>
      <c r="O25" s="4"/>
      <c r="P25" s="43">
        <f t="shared" si="3"/>
        <v>45218.599999999991</v>
      </c>
    </row>
    <row r="26" spans="2:16" x14ac:dyDescent="0.3">
      <c r="B26" s="55" t="s">
        <v>40</v>
      </c>
      <c r="C26" s="10">
        <v>643.048</v>
      </c>
      <c r="D26" s="10">
        <v>618.36400000000003</v>
      </c>
      <c r="E26" s="10">
        <v>371.524</v>
      </c>
      <c r="F26" s="10">
        <v>445.57600000000002</v>
      </c>
      <c r="G26" s="10">
        <v>568.99599999999998</v>
      </c>
      <c r="H26" s="10">
        <v>519.62800000000004</v>
      </c>
      <c r="I26" s="10">
        <v>346.84</v>
      </c>
      <c r="J26" s="10">
        <v>322.15600000000001</v>
      </c>
      <c r="K26" s="10">
        <v>346.84</v>
      </c>
      <c r="L26" s="10">
        <v>643.048</v>
      </c>
      <c r="M26" s="10">
        <v>544.31200000000001</v>
      </c>
      <c r="N26" s="10">
        <v>825.99599999999998</v>
      </c>
      <c r="O26" s="4"/>
      <c r="P26" s="43">
        <f t="shared" si="3"/>
        <v>6196.3280000000004</v>
      </c>
    </row>
    <row r="27" spans="2:16" s="10" customFormat="1" x14ac:dyDescent="0.3">
      <c r="B27" s="10" t="s">
        <v>49</v>
      </c>
      <c r="C27" s="10">
        <f>41.62+35.8</f>
        <v>77.419999999999987</v>
      </c>
      <c r="P27" s="43">
        <f t="shared" si="3"/>
        <v>77.419999999999987</v>
      </c>
    </row>
    <row r="28" spans="2:16" x14ac:dyDescent="0.3">
      <c r="B28" s="55" t="s">
        <v>41</v>
      </c>
      <c r="C28" s="56"/>
      <c r="D28" s="56"/>
      <c r="E28" s="56"/>
      <c r="F28" s="71">
        <v>3000</v>
      </c>
      <c r="G28" s="56"/>
      <c r="H28" s="56"/>
      <c r="I28" s="56"/>
      <c r="J28" s="56"/>
      <c r="K28" s="56"/>
      <c r="L28" s="56">
        <v>3000</v>
      </c>
      <c r="M28" s="70">
        <v>3000</v>
      </c>
      <c r="N28" s="56"/>
      <c r="O28" s="4"/>
      <c r="P28" s="43">
        <f t="shared" si="3"/>
        <v>9000</v>
      </c>
    </row>
    <row r="29" spans="2:16" x14ac:dyDescent="0.3">
      <c r="B29" s="8" t="s">
        <v>3</v>
      </c>
      <c r="C29" s="44">
        <f t="shared" ref="C29:N29" si="4">SUM(C24:C28)</f>
        <v>10592.407999999999</v>
      </c>
      <c r="D29" s="44">
        <f t="shared" si="4"/>
        <v>10491.124</v>
      </c>
      <c r="E29" s="44">
        <f t="shared" si="4"/>
        <v>7172.0039999999999</v>
      </c>
      <c r="F29" s="44">
        <f t="shared" si="4"/>
        <v>10719.796</v>
      </c>
      <c r="G29" s="44">
        <f t="shared" si="4"/>
        <v>10468.405999999999</v>
      </c>
      <c r="H29" s="44">
        <f t="shared" si="4"/>
        <v>9419.8580000000002</v>
      </c>
      <c r="I29" s="44">
        <f t="shared" si="4"/>
        <v>9251.7900000000009</v>
      </c>
      <c r="J29" s="44">
        <f t="shared" si="4"/>
        <v>9568.0560000000005</v>
      </c>
      <c r="K29" s="44">
        <f t="shared" si="4"/>
        <v>8756.7999999999993</v>
      </c>
      <c r="L29" s="44">
        <f t="shared" si="4"/>
        <v>12552.978000000001</v>
      </c>
      <c r="M29" s="44">
        <f t="shared" si="4"/>
        <v>12447.591999999999</v>
      </c>
      <c r="N29" s="44">
        <f t="shared" si="4"/>
        <v>10171.126</v>
      </c>
      <c r="O29" s="4"/>
      <c r="P29" s="61">
        <f t="shared" si="3"/>
        <v>121611.93800000001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5" t="s">
        <v>42</v>
      </c>
      <c r="C31" s="66"/>
      <c r="D31" s="66"/>
      <c r="E31" s="66"/>
      <c r="F31" s="66"/>
      <c r="G31" s="66"/>
      <c r="H31" s="66">
        <v>1000</v>
      </c>
      <c r="I31" s="66">
        <v>1000</v>
      </c>
      <c r="J31" s="66"/>
      <c r="K31" s="66">
        <v>1000</v>
      </c>
      <c r="L31" s="66">
        <v>1000</v>
      </c>
      <c r="M31" s="66">
        <v>1000</v>
      </c>
      <c r="N31" s="69">
        <v>1000</v>
      </c>
      <c r="P31" s="67">
        <f>SUM(C31:N31)</f>
        <v>6000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1890.5920000000006</v>
      </c>
      <c r="D33" s="47">
        <f t="shared" si="5"/>
        <v>1991.8760000000002</v>
      </c>
      <c r="E33" s="47">
        <f t="shared" si="5"/>
        <v>-669.00399999999991</v>
      </c>
      <c r="F33" s="47">
        <f t="shared" si="5"/>
        <v>-2422.7960000000003</v>
      </c>
      <c r="G33" s="47">
        <f t="shared" si="5"/>
        <v>818.59400000000096</v>
      </c>
      <c r="H33" s="47">
        <f t="shared" si="5"/>
        <v>671.14199999999983</v>
      </c>
      <c r="I33" s="47">
        <f t="shared" si="5"/>
        <v>4427.2099999999991</v>
      </c>
      <c r="J33" s="47">
        <f t="shared" si="5"/>
        <v>2914.9439999999995</v>
      </c>
      <c r="K33" s="47">
        <f t="shared" si="5"/>
        <v>-2851.7999999999993</v>
      </c>
      <c r="L33" s="47">
        <f t="shared" si="5"/>
        <v>528.02199999999903</v>
      </c>
      <c r="M33" s="47">
        <f t="shared" si="5"/>
        <v>-1459.5919999999987</v>
      </c>
      <c r="N33" s="47">
        <f t="shared" si="5"/>
        <v>1115.8739999999998</v>
      </c>
      <c r="P33" s="60">
        <f>SUM(C33:O33)</f>
        <v>6955.0620000000017</v>
      </c>
    </row>
    <row r="35" spans="2:16" x14ac:dyDescent="0.3">
      <c r="B35" s="63" t="s">
        <v>37</v>
      </c>
      <c r="C35" s="54">
        <v>1452</v>
      </c>
      <c r="D35" s="54">
        <v>1386</v>
      </c>
      <c r="E35" s="54">
        <v>726</v>
      </c>
      <c r="F35" s="54">
        <v>924</v>
      </c>
      <c r="G35" s="54">
        <v>1254</v>
      </c>
      <c r="H35" s="54">
        <v>1122</v>
      </c>
      <c r="I35" s="54">
        <v>660</v>
      </c>
      <c r="J35" s="54">
        <v>594</v>
      </c>
      <c r="K35" s="54">
        <v>660</v>
      </c>
      <c r="L35" s="54">
        <v>1452</v>
      </c>
      <c r="M35" s="54">
        <v>1188</v>
      </c>
      <c r="N35" s="54">
        <v>1254</v>
      </c>
      <c r="P35" s="62">
        <f>SUM(C35:N35)</f>
        <v>12672</v>
      </c>
    </row>
    <row r="36" spans="2:16" x14ac:dyDescent="0.3">
      <c r="B36" s="63" t="s">
        <v>38</v>
      </c>
      <c r="C36" s="54">
        <v>643.048</v>
      </c>
      <c r="D36" s="54">
        <v>618.36400000000003</v>
      </c>
      <c r="E36" s="54">
        <v>371.524</v>
      </c>
      <c r="F36" s="54">
        <v>445.57600000000002</v>
      </c>
      <c r="G36" s="54">
        <v>568.99599999999998</v>
      </c>
      <c r="H36" s="54">
        <v>519.62800000000004</v>
      </c>
      <c r="I36" s="54">
        <v>346.84</v>
      </c>
      <c r="J36" s="54">
        <v>322.15600000000001</v>
      </c>
      <c r="K36" s="54">
        <v>346.84</v>
      </c>
      <c r="L36" s="54">
        <v>643.048</v>
      </c>
      <c r="M36" s="54">
        <v>544.31200000000001</v>
      </c>
      <c r="N36" s="54">
        <v>825.99599999999998</v>
      </c>
      <c r="P36" s="62">
        <f>SUM(C36:N36)</f>
        <v>6196.3280000000004</v>
      </c>
    </row>
    <row r="38" spans="2:16" x14ac:dyDescent="0.3">
      <c r="N38" s="54" t="s">
        <v>52</v>
      </c>
      <c r="P38" s="62">
        <f>(P35*0.374) + 1457</f>
        <v>6196.3280000000004</v>
      </c>
    </row>
    <row r="39" spans="2:16" x14ac:dyDescent="0.3">
      <c r="N39" s="54" t="s">
        <v>53</v>
      </c>
      <c r="P39" s="62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9"/>
  <sheetViews>
    <sheetView workbookViewId="0">
      <selection activeCell="F29" sqref="F29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8">
        <f>SUM(C6:N6)</f>
        <v>133</v>
      </c>
    </row>
    <row r="7" spans="2:16" x14ac:dyDescent="0.3">
      <c r="B7" s="9" t="s">
        <v>21</v>
      </c>
      <c r="C7" s="37">
        <v>22</v>
      </c>
      <c r="D7" s="37">
        <v>19</v>
      </c>
      <c r="E7" s="37">
        <v>12</v>
      </c>
      <c r="F7" s="37">
        <v>15.5</v>
      </c>
      <c r="G7" s="37">
        <v>19</v>
      </c>
      <c r="H7" s="37">
        <v>18</v>
      </c>
      <c r="I7" s="37">
        <v>22</v>
      </c>
      <c r="J7" s="37"/>
      <c r="K7" s="37"/>
      <c r="L7" s="37"/>
      <c r="M7" s="37"/>
      <c r="N7" s="37"/>
      <c r="O7" s="36"/>
      <c r="P7" s="58">
        <f>SUM(C7:N7)</f>
        <v>127.5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0</v>
      </c>
      <c r="E8" s="64">
        <f t="shared" si="0"/>
        <v>-7</v>
      </c>
      <c r="F8" s="64">
        <f t="shared" si="0"/>
        <v>-3.5</v>
      </c>
      <c r="G8" s="64">
        <f t="shared" si="0"/>
        <v>0</v>
      </c>
      <c r="H8" s="64">
        <f t="shared" si="0"/>
        <v>-1</v>
      </c>
      <c r="I8" s="64">
        <f t="shared" si="0"/>
        <v>3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-5.5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</v>
      </c>
      <c r="E11" s="11">
        <v>12</v>
      </c>
      <c r="F11" s="11">
        <v>15.5</v>
      </c>
      <c r="G11" s="11">
        <v>19</v>
      </c>
      <c r="H11" s="11">
        <v>18</v>
      </c>
      <c r="I11" s="11">
        <v>22</v>
      </c>
      <c r="J11" s="11"/>
      <c r="K11" s="11"/>
      <c r="L11" s="11"/>
      <c r="M11" s="11"/>
      <c r="N11" s="11"/>
      <c r="P11" s="59">
        <f t="shared" ref="P11:P16" si="1">SUM(C11:N11)</f>
        <v>127.5</v>
      </c>
    </row>
    <row r="12" spans="2:16" x14ac:dyDescent="0.3">
      <c r="B12" s="9" t="s">
        <v>16</v>
      </c>
      <c r="C12" s="12"/>
      <c r="D12" s="12">
        <v>1</v>
      </c>
      <c r="E12" s="12">
        <v>9</v>
      </c>
      <c r="F12" s="12">
        <v>5.5</v>
      </c>
      <c r="G12" s="12"/>
      <c r="H12" s="12">
        <v>3</v>
      </c>
      <c r="I12" s="12"/>
      <c r="J12" s="12"/>
      <c r="K12" s="12"/>
      <c r="L12" s="12"/>
      <c r="M12" s="12"/>
      <c r="N12" s="12"/>
      <c r="P12" s="59">
        <f t="shared" si="1"/>
        <v>18.5</v>
      </c>
    </row>
    <row r="13" spans="2:16" x14ac:dyDescent="0.3">
      <c r="B13" s="9" t="s">
        <v>51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0</v>
      </c>
    </row>
    <row r="14" spans="2:16" x14ac:dyDescent="0.3">
      <c r="B14" s="9" t="s">
        <v>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9">
        <f t="shared" si="1"/>
        <v>0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13081</v>
      </c>
      <c r="D19" s="10">
        <f>D11*Params!$C$7*(1-Params!$C$3)-Params!$C$4</f>
        <v>11287</v>
      </c>
      <c r="E19" s="10">
        <f>E11*Params!$C$7*(1-Params!$C$3)-Params!$C$4</f>
        <v>7101</v>
      </c>
      <c r="F19" s="10">
        <f>F11*Params!$C$7*(1-Params!$C$3)-Params!$C$4</f>
        <v>9194</v>
      </c>
      <c r="G19" s="10">
        <f>G11*Params!$C$7*(1-Params!$C$3)-Params!$C$4</f>
        <v>11287</v>
      </c>
      <c r="H19" s="10">
        <f>H11*Params!$C$7*(1-Params!$C$3)-Params!$C$4</f>
        <v>10689</v>
      </c>
      <c r="I19" s="10">
        <f>I11*Params!$C$7*(1-Params!$C$3)-Params!$C$4</f>
        <v>13081</v>
      </c>
      <c r="J19" s="10"/>
      <c r="K19" s="10"/>
      <c r="L19" s="10"/>
      <c r="M19" s="10"/>
      <c r="N19" s="10"/>
      <c r="O19" s="4"/>
      <c r="P19" s="41">
        <f>SUM(C19:N19)</f>
        <v>75720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13081</v>
      </c>
      <c r="D21" s="28">
        <f t="shared" si="2"/>
        <v>11287</v>
      </c>
      <c r="E21" s="28">
        <f t="shared" si="2"/>
        <v>7101</v>
      </c>
      <c r="F21" s="28">
        <f t="shared" si="2"/>
        <v>9194</v>
      </c>
      <c r="G21" s="28">
        <f t="shared" si="2"/>
        <v>11287</v>
      </c>
      <c r="H21" s="28">
        <f t="shared" si="2"/>
        <v>10689</v>
      </c>
      <c r="I21" s="28">
        <f t="shared" si="2"/>
        <v>13081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75720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4885.8</v>
      </c>
      <c r="D24" s="10">
        <v>4885.8</v>
      </c>
      <c r="E24" s="10">
        <v>4885.8</v>
      </c>
      <c r="F24" s="10">
        <v>4885.8</v>
      </c>
      <c r="G24" s="10">
        <v>5885.8</v>
      </c>
      <c r="H24" s="10">
        <v>5885.8</v>
      </c>
      <c r="I24" s="10">
        <v>5885.8</v>
      </c>
      <c r="J24" s="10"/>
      <c r="K24" s="10"/>
      <c r="L24" s="10"/>
      <c r="M24" s="10"/>
      <c r="N24" s="10"/>
      <c r="O24" s="4"/>
      <c r="P24" s="43">
        <f t="shared" ref="P24:P29" si="3">SUM(C24:N24)</f>
        <v>37200.6</v>
      </c>
    </row>
    <row r="25" spans="2:16" x14ac:dyDescent="0.3">
      <c r="B25" s="9" t="s">
        <v>8</v>
      </c>
      <c r="C25" s="10">
        <f>1443.54+2585.7</f>
        <v>4029.24</v>
      </c>
      <c r="D25" s="10">
        <f>1443.54+2584.04</f>
        <v>4027.58</v>
      </c>
      <c r="E25" s="10">
        <f>1443.54+2584.86</f>
        <v>4028.4</v>
      </c>
      <c r="F25" s="10">
        <f>1443.54+2591.51</f>
        <v>4035.05</v>
      </c>
      <c r="G25" s="10">
        <f>1443.54+2588.61</f>
        <v>4032.15</v>
      </c>
      <c r="H25" s="10">
        <f>1443.54+2584.04</f>
        <v>4027.58</v>
      </c>
      <c r="I25" s="10">
        <f>1443.54+2586.53</f>
        <v>4030.07</v>
      </c>
      <c r="J25" s="10"/>
      <c r="K25" s="10"/>
      <c r="L25" s="10"/>
      <c r="M25" s="10"/>
      <c r="N25" s="10"/>
      <c r="O25" s="4"/>
      <c r="P25" s="43">
        <f t="shared" si="3"/>
        <v>28210.07</v>
      </c>
    </row>
    <row r="26" spans="2:16" x14ac:dyDescent="0.3">
      <c r="B26" s="55" t="s">
        <v>40</v>
      </c>
      <c r="C26" s="10">
        <v>643.048</v>
      </c>
      <c r="D26" s="10">
        <v>569</v>
      </c>
      <c r="E26" s="10">
        <v>396.20800000000003</v>
      </c>
      <c r="F26" s="10">
        <v>494.94</v>
      </c>
      <c r="G26" s="10">
        <v>569</v>
      </c>
      <c r="H26" s="10">
        <v>544.30999999999995</v>
      </c>
      <c r="I26" s="10">
        <v>643.04999999999995</v>
      </c>
      <c r="J26" s="10"/>
      <c r="K26" s="10"/>
      <c r="L26" s="10"/>
      <c r="M26" s="10"/>
      <c r="N26" s="10"/>
      <c r="O26" s="4"/>
      <c r="P26" s="43">
        <f t="shared" si="3"/>
        <v>3859.5559999999996</v>
      </c>
    </row>
    <row r="27" spans="2:16" s="10" customFormat="1" x14ac:dyDescent="0.3">
      <c r="B27" s="10" t="s">
        <v>49</v>
      </c>
      <c r="E27" s="10">
        <v>208.32</v>
      </c>
      <c r="P27" s="43">
        <f t="shared" si="3"/>
        <v>208.32</v>
      </c>
    </row>
    <row r="28" spans="2:16" x14ac:dyDescent="0.3">
      <c r="B28" s="55" t="s">
        <v>41</v>
      </c>
      <c r="C28" s="56"/>
      <c r="D28" s="56"/>
      <c r="E28" s="56"/>
      <c r="F28" s="56">
        <v>4000</v>
      </c>
      <c r="G28" s="56"/>
      <c r="H28" s="56"/>
      <c r="I28" s="56"/>
      <c r="J28" s="56"/>
      <c r="K28" s="56"/>
      <c r="L28" s="56"/>
      <c r="M28" s="70"/>
      <c r="N28" s="56"/>
      <c r="O28" s="4"/>
      <c r="P28" s="43">
        <f t="shared" si="3"/>
        <v>4000</v>
      </c>
    </row>
    <row r="29" spans="2:16" x14ac:dyDescent="0.3">
      <c r="B29" s="8" t="s">
        <v>3</v>
      </c>
      <c r="C29" s="44">
        <f t="shared" ref="C29:N29" si="4">SUM(C24:C28)</f>
        <v>9558.0880000000016</v>
      </c>
      <c r="D29" s="44">
        <f t="shared" si="4"/>
        <v>9482.380000000001</v>
      </c>
      <c r="E29" s="44">
        <f t="shared" si="4"/>
        <v>9518.728000000001</v>
      </c>
      <c r="F29" s="44">
        <f t="shared" si="4"/>
        <v>13415.79</v>
      </c>
      <c r="G29" s="44">
        <f t="shared" si="4"/>
        <v>10486.95</v>
      </c>
      <c r="H29" s="44">
        <f t="shared" si="4"/>
        <v>10457.69</v>
      </c>
      <c r="I29" s="44">
        <f t="shared" si="4"/>
        <v>10558.92</v>
      </c>
      <c r="J29" s="44">
        <f t="shared" si="4"/>
        <v>0</v>
      </c>
      <c r="K29" s="44">
        <f t="shared" si="4"/>
        <v>0</v>
      </c>
      <c r="L29" s="44">
        <f t="shared" si="4"/>
        <v>0</v>
      </c>
      <c r="M29" s="44">
        <f t="shared" si="4"/>
        <v>0</v>
      </c>
      <c r="N29" s="44">
        <f t="shared" si="4"/>
        <v>0</v>
      </c>
      <c r="O29" s="4"/>
      <c r="P29" s="61">
        <f t="shared" si="3"/>
        <v>73478.546000000002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5" t="s">
        <v>42</v>
      </c>
      <c r="C31" s="66">
        <v>1000</v>
      </c>
      <c r="D31" s="66">
        <v>1000</v>
      </c>
      <c r="E31" s="66">
        <v>1000</v>
      </c>
      <c r="F31" s="66">
        <v>1000</v>
      </c>
      <c r="G31" s="66">
        <v>0</v>
      </c>
      <c r="H31" s="66">
        <v>0</v>
      </c>
      <c r="I31" s="66">
        <v>0</v>
      </c>
      <c r="J31" s="66"/>
      <c r="K31" s="66"/>
      <c r="L31" s="66"/>
      <c r="M31" s="66"/>
      <c r="N31" s="69"/>
      <c r="P31" s="67">
        <f>SUM(C31:N31)</f>
        <v>4000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3522.9119999999984</v>
      </c>
      <c r="D33" s="47">
        <f t="shared" si="5"/>
        <v>1804.619999999999</v>
      </c>
      <c r="E33" s="47">
        <f t="shared" si="5"/>
        <v>-2417.728000000001</v>
      </c>
      <c r="F33" s="47">
        <f t="shared" si="5"/>
        <v>-4221.7900000000009</v>
      </c>
      <c r="G33" s="47">
        <f t="shared" si="5"/>
        <v>800.04999999999927</v>
      </c>
      <c r="H33" s="47">
        <f t="shared" si="5"/>
        <v>231.30999999999949</v>
      </c>
      <c r="I33" s="47">
        <f t="shared" si="5"/>
        <v>2522.08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60">
        <f>SUM(C33:O33)</f>
        <v>2241.4539999999943</v>
      </c>
    </row>
    <row r="35" spans="2:16" x14ac:dyDescent="0.3">
      <c r="B35" s="63" t="s">
        <v>37</v>
      </c>
      <c r="C35" s="54">
        <v>1452</v>
      </c>
      <c r="D35" s="54">
        <v>1254</v>
      </c>
      <c r="E35" s="54">
        <v>792</v>
      </c>
      <c r="F35" s="54">
        <v>1056</v>
      </c>
      <c r="G35" s="54">
        <v>1254</v>
      </c>
      <c r="H35" s="54">
        <v>1188</v>
      </c>
      <c r="I35" s="54">
        <v>1452</v>
      </c>
      <c r="J35" s="54"/>
      <c r="K35" s="54"/>
      <c r="L35" s="54"/>
      <c r="M35" s="54"/>
      <c r="N35" s="54"/>
      <c r="P35" s="62">
        <f>SUM(C35:N35)</f>
        <v>8448</v>
      </c>
    </row>
    <row r="36" spans="2:16" x14ac:dyDescent="0.3">
      <c r="B36" s="63" t="s">
        <v>38</v>
      </c>
      <c r="C36" s="54">
        <v>643.048</v>
      </c>
      <c r="D36" s="54">
        <v>569</v>
      </c>
      <c r="E36" s="54">
        <v>396.20800000000003</v>
      </c>
      <c r="F36" s="54">
        <v>394.94</v>
      </c>
      <c r="G36" s="54">
        <v>569</v>
      </c>
      <c r="H36" s="54">
        <v>544.30999999999995</v>
      </c>
      <c r="I36" s="54">
        <v>643.04999999999995</v>
      </c>
      <c r="J36" s="54"/>
      <c r="K36" s="54"/>
      <c r="L36" s="54"/>
      <c r="M36" s="54"/>
      <c r="N36" s="54"/>
      <c r="P36" s="62">
        <f>SUM(C36:N36)</f>
        <v>3759.5559999999996</v>
      </c>
    </row>
    <row r="38" spans="2:16" x14ac:dyDescent="0.3">
      <c r="N38" s="54" t="s">
        <v>52</v>
      </c>
      <c r="P38" s="62">
        <f>(P35*0.374) + 1457</f>
        <v>4616.5519999999997</v>
      </c>
    </row>
    <row r="39" spans="2:16" x14ac:dyDescent="0.3">
      <c r="N39" s="54" t="s">
        <v>53</v>
      </c>
      <c r="P39" s="62">
        <f>P38-P36</f>
        <v>856.99600000000009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7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5" t="s">
        <v>23</v>
      </c>
      <c r="C2" s="7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44</v>
      </c>
      <c r="C5" s="33">
        <v>570</v>
      </c>
    </row>
    <row r="6" spans="2:3" ht="25.95" customHeight="1" x14ac:dyDescent="0.3">
      <c r="B6" s="33" t="s">
        <v>45</v>
      </c>
      <c r="C6" s="33">
        <v>600</v>
      </c>
    </row>
    <row r="7" spans="2:3" ht="25.95" customHeight="1" x14ac:dyDescent="0.3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7" t="s">
        <v>33</v>
      </c>
      <c r="C2" s="77"/>
    </row>
    <row r="3" spans="2:3" ht="16.95" customHeight="1" x14ac:dyDescent="0.3">
      <c r="B3" s="38" t="s">
        <v>34</v>
      </c>
      <c r="C3" s="39">
        <f>SUM('2022'!P30,'2023'!P33,'2024'!P33)+'2025'!P33</f>
        <v>-3423.1340000000055</v>
      </c>
    </row>
    <row r="4" spans="2:3" ht="16.95" customHeight="1" x14ac:dyDescent="0.3">
      <c r="B4" s="38" t="s">
        <v>39</v>
      </c>
      <c r="C4" s="40">
        <f>'2022'!P12+'2023'!P12+'2024'!P12+'2025'!P12</f>
        <v>61.5</v>
      </c>
    </row>
    <row r="5" spans="2:3" x14ac:dyDescent="0.3">
      <c r="B5" t="s">
        <v>54</v>
      </c>
      <c r="C5">
        <f>(33*2.08)-C4</f>
        <v>7.1400000000000006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2025-08-07T23:40:49Z</dcterms:modified>
</cp:coreProperties>
</file>