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1 - HIGHSKILL\07 - PAIE\Production\2025\07\Normal\"/>
    </mc:Choice>
  </mc:AlternateContent>
  <bookViews>
    <workbookView xWindow="0" yWindow="0" windowWidth="25600" windowHeight="12130" activeTab="4"/>
  </bookViews>
  <sheets>
    <sheet name="2023" sheetId="15" r:id="rId1"/>
    <sheet name="2024" sheetId="16" r:id="rId2"/>
    <sheet name="2025" sheetId="17" r:id="rId3"/>
    <sheet name="Params" sheetId="10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'2023'!$B$14</definedName>
    <definedName name="CRA_ASTREINTE" localSheetId="1">'2024'!$B$15</definedName>
    <definedName name="CRA_ASTREINTE" localSheetId="2">'2025'!$B$15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 localSheetId="2">'2025'!$B$13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S" localSheetId="0">'2023'!$B$16</definedName>
    <definedName name="ENTREES" localSheetId="1">'2024'!$B$17</definedName>
    <definedName name="ENTREES" localSheetId="2">'2025'!$B$17</definedName>
    <definedName name="ENTREES">#REF!</definedName>
    <definedName name="ENTREES_ASTREINTE" localSheetId="0">'2023'!$B$18</definedName>
    <definedName name="ENTREES_ASTREINTE" localSheetId="1">'2024'!$B$19</definedName>
    <definedName name="ENTREES_ASTREINTE" localSheetId="2">'2025'!$B$19</definedName>
    <definedName name="ENTREES_ASTREINTE">#REF!</definedName>
    <definedName name="ENTREES_FACTURE" localSheetId="0">'2023'!$B$17</definedName>
    <definedName name="ENTREES_FACTURE" localSheetId="1">'2024'!$B$18</definedName>
    <definedName name="ENTREES_FACTURE" localSheetId="2">'2025'!$B$18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'2023'!$B$26</definedName>
    <definedName name="SOLDE" localSheetId="1">'2024'!$B$28</definedName>
    <definedName name="SOLDE" localSheetId="2">'2025'!$B$28</definedName>
    <definedName name="SORTIES" localSheetId="0">'2023'!$B$21</definedName>
    <definedName name="SORTIES" localSheetId="1">'2024'!$B$22</definedName>
    <definedName name="SORTIES" localSheetId="2">'2025'!$B$22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 localSheetId="2">'2025'!#REF!</definedName>
    <definedName name="SORTIES_ABONDEMENT">#REF!</definedName>
    <definedName name="SORTIES_CHARGES_SOCIALES_PATRONALES" localSheetId="0">'2023'!$B$23</definedName>
    <definedName name="SORTIES_CHARGES_SOCIALES_PATRONALES" localSheetId="1">'2024'!$B$24</definedName>
    <definedName name="SORTIES_CHARGES_SOCIALES_PATRONALES" localSheetId="2">'2025'!$B$24</definedName>
    <definedName name="SORTIES_CHARGES_SOCIALES_PATRONALES">#REF!</definedName>
    <definedName name="SORTIES_FRAIS_PEE_AMUNDI" localSheetId="0">'2023'!#REF!</definedName>
    <definedName name="SORTIES_FRAIS_PEE_AMUNDI" localSheetId="1">'2024'!#REF!</definedName>
    <definedName name="SORTIES_FRAIS_PEE_AMUNDI" localSheetId="2">'2025'!#REF!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 localSheetId="2">'2025'!#REF!</definedName>
    <definedName name="SORTIES_INTERESSEMENT">#REF!</definedName>
    <definedName name="SORTIES_SALAIRE_NET" localSheetId="0">'2023'!$B$22</definedName>
    <definedName name="SORTIES_SALAIRE_NET" localSheetId="1">'2024'!$B$23</definedName>
    <definedName name="SORTIES_SALAIRE_NET" localSheetId="2">'2025'!$B$23</definedName>
    <definedName name="SORTIES_SALAIRE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'2023'!$B$19</definedName>
    <definedName name="TOTAL_ENTREES" localSheetId="1">'2024'!$B$20</definedName>
    <definedName name="TOTAL_ENTREES" localSheetId="2">'2025'!$B$20</definedName>
    <definedName name="TOTAL_ENTREES">#REF!</definedName>
    <definedName name="TOTAL_SORTIES" localSheetId="0">'2023'!$B$24</definedName>
    <definedName name="TOTAL_SORTIES" localSheetId="1">'2024'!$B$26</definedName>
    <definedName name="TOTAL_SORTIES" localSheetId="2">'2025'!$B$26</definedName>
    <definedName name="TOTAL_SORTIES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I24" i="17" l="1"/>
  <c r="I18" i="17"/>
  <c r="H28" i="17" l="1"/>
  <c r="H24" i="17"/>
  <c r="H18" i="17"/>
  <c r="G24" i="17" l="1"/>
  <c r="G18" i="17"/>
  <c r="F24" i="17" l="1"/>
  <c r="F18" i="17" l="1"/>
  <c r="N26" i="17" l="1"/>
  <c r="M26" i="17"/>
  <c r="L26" i="17"/>
  <c r="K26" i="17"/>
  <c r="J26" i="17"/>
  <c r="I26" i="17"/>
  <c r="H26" i="17"/>
  <c r="G26" i="17"/>
  <c r="F26" i="17"/>
  <c r="C26" i="17"/>
  <c r="P25" i="17"/>
  <c r="E24" i="17"/>
  <c r="E26" i="17" s="1"/>
  <c r="D24" i="17"/>
  <c r="D26" i="17" s="1"/>
  <c r="C24" i="17"/>
  <c r="P23" i="17"/>
  <c r="N20" i="17"/>
  <c r="N28" i="17" s="1"/>
  <c r="M20" i="17"/>
  <c r="M28" i="17" s="1"/>
  <c r="L20" i="17"/>
  <c r="K20" i="17"/>
  <c r="K28" i="17" s="1"/>
  <c r="J20" i="17"/>
  <c r="J28" i="17" s="1"/>
  <c r="I20" i="17"/>
  <c r="H20" i="17"/>
  <c r="G20" i="17"/>
  <c r="F20" i="17"/>
  <c r="E20" i="17"/>
  <c r="P19" i="17"/>
  <c r="E18" i="17"/>
  <c r="D18" i="17"/>
  <c r="D20" i="17" s="1"/>
  <c r="C18" i="17"/>
  <c r="P18" i="17" s="1"/>
  <c r="P15" i="17"/>
  <c r="P14" i="17"/>
  <c r="P13" i="17"/>
  <c r="P12" i="17"/>
  <c r="P11" i="17"/>
  <c r="N8" i="17"/>
  <c r="M8" i="17"/>
  <c r="L8" i="17"/>
  <c r="K8" i="17"/>
  <c r="J8" i="17"/>
  <c r="I8" i="17"/>
  <c r="H8" i="17"/>
  <c r="G8" i="17"/>
  <c r="F8" i="17"/>
  <c r="E8" i="17"/>
  <c r="D8" i="17"/>
  <c r="C8" i="17"/>
  <c r="P7" i="17"/>
  <c r="P6" i="17"/>
  <c r="K26" i="16"/>
  <c r="J26" i="16"/>
  <c r="I26" i="16"/>
  <c r="C26" i="16"/>
  <c r="P25" i="16"/>
  <c r="N24" i="16"/>
  <c r="N26" i="16" s="1"/>
  <c r="M24" i="16"/>
  <c r="M26" i="16" s="1"/>
  <c r="L24" i="16"/>
  <c r="L26" i="16" s="1"/>
  <c r="K24" i="16"/>
  <c r="J24" i="16"/>
  <c r="I24" i="16"/>
  <c r="H24" i="16"/>
  <c r="H26" i="16" s="1"/>
  <c r="G24" i="16"/>
  <c r="G26" i="16" s="1"/>
  <c r="F24" i="16"/>
  <c r="F26" i="16" s="1"/>
  <c r="E24" i="16"/>
  <c r="E26" i="16" s="1"/>
  <c r="D24" i="16"/>
  <c r="D26" i="16" s="1"/>
  <c r="C24" i="16"/>
  <c r="P23" i="16"/>
  <c r="N20" i="16"/>
  <c r="M20" i="16"/>
  <c r="H20" i="16"/>
  <c r="G20" i="16"/>
  <c r="P19" i="16"/>
  <c r="N18" i="16"/>
  <c r="M18" i="16"/>
  <c r="L18" i="16"/>
  <c r="L20" i="16" s="1"/>
  <c r="K18" i="16"/>
  <c r="K20" i="16" s="1"/>
  <c r="K28" i="16" s="1"/>
  <c r="J18" i="16"/>
  <c r="J20" i="16" s="1"/>
  <c r="I18" i="16"/>
  <c r="I20" i="16" s="1"/>
  <c r="I28" i="16" s="1"/>
  <c r="H18" i="16"/>
  <c r="G18" i="16"/>
  <c r="F18" i="16"/>
  <c r="F20" i="16" s="1"/>
  <c r="F28" i="16" s="1"/>
  <c r="E18" i="16"/>
  <c r="E20" i="16" s="1"/>
  <c r="D18" i="16"/>
  <c r="D20" i="16" s="1"/>
  <c r="C18" i="16"/>
  <c r="C20" i="16" s="1"/>
  <c r="P15" i="16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M26" i="15"/>
  <c r="C26" i="15"/>
  <c r="M24" i="15"/>
  <c r="L24" i="15"/>
  <c r="K24" i="15"/>
  <c r="J24" i="15"/>
  <c r="I24" i="15"/>
  <c r="H24" i="15"/>
  <c r="G24" i="15"/>
  <c r="F24" i="15"/>
  <c r="E24" i="15"/>
  <c r="D24" i="15"/>
  <c r="C24" i="15"/>
  <c r="N23" i="15"/>
  <c r="N24" i="15" s="1"/>
  <c r="P22" i="15"/>
  <c r="M19" i="15"/>
  <c r="L19" i="15"/>
  <c r="L26" i="15" s="1"/>
  <c r="K19" i="15"/>
  <c r="K26" i="15" s="1"/>
  <c r="J19" i="15"/>
  <c r="I19" i="15"/>
  <c r="H19" i="15"/>
  <c r="H26" i="15" s="1"/>
  <c r="G19" i="15"/>
  <c r="G26" i="15" s="1"/>
  <c r="F19" i="15"/>
  <c r="F26" i="15" s="1"/>
  <c r="E19" i="15"/>
  <c r="E26" i="15" s="1"/>
  <c r="D19" i="15"/>
  <c r="D26" i="15" s="1"/>
  <c r="C19" i="15"/>
  <c r="P18" i="15"/>
  <c r="N17" i="15"/>
  <c r="P17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I28" i="17" l="1"/>
  <c r="L28" i="16"/>
  <c r="D28" i="16"/>
  <c r="E28" i="16"/>
  <c r="D28" i="17"/>
  <c r="P24" i="15"/>
  <c r="H28" i="16"/>
  <c r="I26" i="15"/>
  <c r="L28" i="17"/>
  <c r="M28" i="16"/>
  <c r="C4" i="13"/>
  <c r="E28" i="17"/>
  <c r="P8" i="16"/>
  <c r="P8" i="15"/>
  <c r="J26" i="15"/>
  <c r="J28" i="16"/>
  <c r="P24" i="17"/>
  <c r="G28" i="17"/>
  <c r="P8" i="17"/>
  <c r="P26" i="17"/>
  <c r="F28" i="17"/>
  <c r="P20" i="16"/>
  <c r="C28" i="16"/>
  <c r="P26" i="16"/>
  <c r="N28" i="16"/>
  <c r="G28" i="16"/>
  <c r="P24" i="16"/>
  <c r="P23" i="15"/>
  <c r="P18" i="16"/>
  <c r="N19" i="15"/>
  <c r="N26" i="15" s="1"/>
  <c r="P26" i="15" s="1"/>
  <c r="C20" i="17"/>
  <c r="P19" i="15" l="1"/>
  <c r="P20" i="17"/>
  <c r="C28" i="17"/>
  <c r="P28" i="17" s="1"/>
  <c r="P28" i="16"/>
  <c r="C3" i="13" l="1"/>
</calcChain>
</file>

<file path=xl/sharedStrings.xml><?xml version="1.0" encoding="utf-8"?>
<sst xmlns="http://schemas.openxmlformats.org/spreadsheetml/2006/main" count="111" uniqueCount="42">
  <si>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</si>
  <si>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</si>
  <si>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</si>
  <si>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</si>
  <si>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</si>
  <si>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</si>
  <si>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</si>
  <si>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</si>
  <si>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</si>
  <si>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</si>
  <si>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</si>
  <si>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</si>
  <si>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</si>
  <si>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</si>
  <si>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</si>
  <si>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</si>
  <si>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</si>
  <si>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</si>
  <si>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</si>
  <si>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</si>
  <si>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</si>
  <si>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</si>
  <si>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</si>
  <si>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</si>
  <si>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</si>
  <si>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</si>
  <si>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</si>
  <si>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</si>
  <si>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</si>
  <si>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</si>
  <si>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</si>
  <si>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</si>
  <si>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</si>
  <si>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</si>
  <si>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</si>
  <si>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</si>
  <si>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</si>
  <si>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</si>
  <si>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(Décembre 2023)</t>
  </si>
  <si>
    <t>Exceptionnel</t>
  </si>
  <si>
    <t>Achat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</si>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</sst>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0" fontId="0" fillId="0" borderId="11" xfId="0" applyBorder="1"/>
    <xf numFmtId="0" fontId="0" fillId="0" borderId="12" xfId="0" applyBorder="1" applyProtection="1">
      <protection locked="0"/>
    </xf>
    <xf numFmtId="4" fontId="4" fillId="4" borderId="12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"/>
  <sheetViews>
    <sheetView workbookViewId="0">
      <selection activeCell="D29" sqref="D29"/>
    </sheetView>
  </sheetViews>
  <sheetFormatPr baseColWidth="10" defaultRowHeight="14.5" x14ac:dyDescent="0.3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5">
      <c r="B1" s="64" t="s">
        <v>9</v>
      </c>
    </row>
    <row r="2" spans="2:16" x14ac:dyDescent="0.35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5">
      <c r="B6" s="8" t="s">
        <v>19</v>
      </c>
      <c r="C6" s="56"/>
      <c r="D6" s="56"/>
      <c r="E6" s="56"/>
      <c r="F6" s="33"/>
      <c r="G6" s="33"/>
      <c r="H6" s="33"/>
      <c r="I6" s="33"/>
      <c r="J6" s="33"/>
      <c r="K6" s="33"/>
      <c r="L6" s="33"/>
      <c r="M6" s="33"/>
      <c r="N6" s="33">
        <v>9</v>
      </c>
      <c r="O6" s="31"/>
      <c r="P6" s="52">
        <f>SUM(C6:N6)</f>
        <v>9</v>
      </c>
    </row>
    <row r="7" spans="2:16" x14ac:dyDescent="0.35">
      <c r="B7" s="8" t="s">
        <v>20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>
        <v>8</v>
      </c>
      <c r="O7" s="31"/>
      <c r="P7" s="52">
        <f>SUM(C7:N7)</f>
        <v>8</v>
      </c>
    </row>
    <row r="8" spans="2:16" x14ac:dyDescent="0.35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-1</v>
      </c>
      <c r="O8" s="31"/>
      <c r="P8" s="52">
        <f>SUM(C8:N8)</f>
        <v>-1</v>
      </c>
    </row>
    <row r="9" spans="2:16" x14ac:dyDescent="0.3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5">
      <c r="B11" s="8" t="s">
        <v>13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>
        <v>8</v>
      </c>
      <c r="P11" s="53">
        <f>SUM(C11:N11)</f>
        <v>8</v>
      </c>
    </row>
    <row r="12" spans="2:16" x14ac:dyDescent="0.35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>
        <v>1</v>
      </c>
      <c r="P12" s="53">
        <f>SUM(C12:N12)</f>
        <v>1</v>
      </c>
    </row>
    <row r="13" spans="2:16" x14ac:dyDescent="0.3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5">
      <c r="B17" s="8" t="s">
        <v>6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>
        <f>N11*Params!$C$5*(1-Params!$C$3)-Params!$C$4</f>
        <v>3752.2000000000003</v>
      </c>
      <c r="O17" s="4"/>
      <c r="P17" s="37">
        <f>SUM(C17:N17)</f>
        <v>3752.2000000000003</v>
      </c>
    </row>
    <row r="18" spans="2:16" x14ac:dyDescent="0.3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5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3752.2000000000003</v>
      </c>
      <c r="O19" s="5"/>
      <c r="P19" s="38">
        <f>SUM(C19:O19)</f>
        <v>3752.2000000000003</v>
      </c>
    </row>
    <row r="20" spans="2:16" x14ac:dyDescent="0.3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5">
      <c r="B22" s="8" t="s">
        <v>7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>
        <v>2634.3</v>
      </c>
      <c r="O22" s="4"/>
      <c r="P22" s="39">
        <f>SUM(C22:N22)</f>
        <v>2634.3</v>
      </c>
    </row>
    <row r="23" spans="2:16" x14ac:dyDescent="0.35">
      <c r="B23" s="8" t="s">
        <v>8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>
        <f>557.97+1044.32</f>
        <v>1602.29</v>
      </c>
      <c r="O23" s="4"/>
      <c r="P23" s="39">
        <f>SUM(C23:N23)</f>
        <v>1602.29</v>
      </c>
    </row>
    <row r="24" spans="2:16" x14ac:dyDescent="0.35">
      <c r="B24" s="7" t="s">
        <v>3</v>
      </c>
      <c r="C24" s="40">
        <f t="shared" ref="C24:N24" si="2">SUM(C22:C23)</f>
        <v>0</v>
      </c>
      <c r="D24" s="40">
        <f t="shared" si="2"/>
        <v>0</v>
      </c>
      <c r="E24" s="40">
        <f t="shared" si="2"/>
        <v>0</v>
      </c>
      <c r="F24" s="40">
        <f t="shared" si="2"/>
        <v>0</v>
      </c>
      <c r="G24" s="40">
        <f t="shared" si="2"/>
        <v>0</v>
      </c>
      <c r="H24" s="40">
        <f t="shared" si="2"/>
        <v>0</v>
      </c>
      <c r="I24" s="40">
        <f t="shared" si="2"/>
        <v>0</v>
      </c>
      <c r="J24" s="40">
        <f t="shared" si="2"/>
        <v>0</v>
      </c>
      <c r="K24" s="40">
        <f t="shared" si="2"/>
        <v>0</v>
      </c>
      <c r="L24" s="40">
        <f t="shared" si="2"/>
        <v>0</v>
      </c>
      <c r="M24" s="40">
        <f t="shared" si="2"/>
        <v>0</v>
      </c>
      <c r="N24" s="40">
        <f t="shared" si="2"/>
        <v>4236.59</v>
      </c>
      <c r="O24" s="4"/>
      <c r="P24" s="41">
        <f>SUM(C24:N24)</f>
        <v>4236.59</v>
      </c>
    </row>
    <row r="25" spans="2:16" x14ac:dyDescent="0.35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5">
      <c r="B26" s="43" t="s">
        <v>25</v>
      </c>
      <c r="C26" s="44">
        <f t="shared" ref="C26:N26" si="3">C19-C24</f>
        <v>0</v>
      </c>
      <c r="D26" s="44">
        <f t="shared" si="3"/>
        <v>0</v>
      </c>
      <c r="E26" s="44">
        <f t="shared" si="3"/>
        <v>0</v>
      </c>
      <c r="F26" s="44">
        <f t="shared" si="3"/>
        <v>0</v>
      </c>
      <c r="G26" s="44">
        <f t="shared" si="3"/>
        <v>0</v>
      </c>
      <c r="H26" s="44">
        <f t="shared" si="3"/>
        <v>0</v>
      </c>
      <c r="I26" s="44">
        <f t="shared" si="3"/>
        <v>0</v>
      </c>
      <c r="J26" s="44">
        <f t="shared" si="3"/>
        <v>0</v>
      </c>
      <c r="K26" s="44">
        <f t="shared" si="3"/>
        <v>0</v>
      </c>
      <c r="L26" s="44">
        <f t="shared" si="3"/>
        <v>0</v>
      </c>
      <c r="M26" s="44">
        <f t="shared" si="3"/>
        <v>0</v>
      </c>
      <c r="N26" s="44">
        <f t="shared" si="3"/>
        <v>-484.38999999999987</v>
      </c>
      <c r="P26" s="54">
        <f>SUM(C26:O26)</f>
        <v>-484.38999999999987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8"/>
  <sheetViews>
    <sheetView workbookViewId="0">
      <selection activeCell="G12" sqref="D12:G12"/>
    </sheetView>
  </sheetViews>
  <sheetFormatPr baseColWidth="10" defaultRowHeight="14.5" x14ac:dyDescent="0.3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5">
      <c r="B1" s="64" t="s">
        <v>9</v>
      </c>
    </row>
    <row r="2" spans="2:16" x14ac:dyDescent="0.35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5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>
        <v>19</v>
      </c>
      <c r="I6" s="33">
        <v>19</v>
      </c>
      <c r="J6" s="33">
        <v>19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228</v>
      </c>
    </row>
    <row r="7" spans="2:16" x14ac:dyDescent="0.35">
      <c r="B7" s="8" t="s">
        <v>20</v>
      </c>
      <c r="C7" s="33">
        <v>22</v>
      </c>
      <c r="D7" s="33">
        <v>17</v>
      </c>
      <c r="E7" s="33">
        <v>20</v>
      </c>
      <c r="F7" s="33">
        <v>19</v>
      </c>
      <c r="G7" s="33">
        <v>13</v>
      </c>
      <c r="H7" s="33">
        <v>20</v>
      </c>
      <c r="I7" s="33">
        <v>22</v>
      </c>
      <c r="J7" s="33">
        <v>21</v>
      </c>
      <c r="K7" s="33">
        <v>11</v>
      </c>
      <c r="L7" s="33">
        <v>23</v>
      </c>
      <c r="M7" s="33">
        <v>19</v>
      </c>
      <c r="N7" s="33">
        <v>20</v>
      </c>
      <c r="O7" s="31"/>
      <c r="P7" s="52">
        <f>SUM(C7:N7)</f>
        <v>227</v>
      </c>
    </row>
    <row r="8" spans="2:16" x14ac:dyDescent="0.35">
      <c r="B8" s="16" t="s">
        <v>21</v>
      </c>
      <c r="C8" s="32">
        <f t="shared" ref="C8:N8" si="0">C7-C6</f>
        <v>3</v>
      </c>
      <c r="D8" s="32">
        <f t="shared" si="0"/>
        <v>-2</v>
      </c>
      <c r="E8" s="32">
        <f t="shared" si="0"/>
        <v>1</v>
      </c>
      <c r="F8" s="32">
        <f t="shared" si="0"/>
        <v>0</v>
      </c>
      <c r="G8" s="32">
        <f t="shared" si="0"/>
        <v>-6</v>
      </c>
      <c r="H8" s="32">
        <f t="shared" si="0"/>
        <v>1</v>
      </c>
      <c r="I8" s="32">
        <f t="shared" si="0"/>
        <v>3</v>
      </c>
      <c r="J8" s="32">
        <f t="shared" si="0"/>
        <v>2</v>
      </c>
      <c r="K8" s="32">
        <f t="shared" si="0"/>
        <v>-8</v>
      </c>
      <c r="L8" s="32">
        <f t="shared" si="0"/>
        <v>4</v>
      </c>
      <c r="M8" s="32">
        <f t="shared" si="0"/>
        <v>0</v>
      </c>
      <c r="N8" s="32">
        <f t="shared" si="0"/>
        <v>1</v>
      </c>
      <c r="O8" s="31"/>
      <c r="P8" s="52">
        <f>SUM(C8:N8)</f>
        <v>-1</v>
      </c>
    </row>
    <row r="9" spans="2:16" x14ac:dyDescent="0.3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5">
      <c r="B11" s="8" t="s">
        <v>13</v>
      </c>
      <c r="C11" s="10">
        <v>22</v>
      </c>
      <c r="D11" s="10">
        <v>17</v>
      </c>
      <c r="E11" s="10">
        <v>20</v>
      </c>
      <c r="F11" s="10">
        <v>19</v>
      </c>
      <c r="G11" s="10">
        <v>13</v>
      </c>
      <c r="H11" s="10">
        <v>20</v>
      </c>
      <c r="I11" s="10">
        <v>22</v>
      </c>
      <c r="J11" s="10">
        <v>21</v>
      </c>
      <c r="K11" s="10">
        <v>11</v>
      </c>
      <c r="L11" s="10">
        <v>23</v>
      </c>
      <c r="M11" s="10">
        <v>19</v>
      </c>
      <c r="N11" s="10">
        <v>20</v>
      </c>
      <c r="P11" s="53">
        <f>SUM(C11:N11)</f>
        <v>227</v>
      </c>
    </row>
    <row r="12" spans="2:16" x14ac:dyDescent="0.35">
      <c r="B12" s="8" t="s">
        <v>15</v>
      </c>
      <c r="C12" s="11"/>
      <c r="D12" s="11">
        <v>2</v>
      </c>
      <c r="E12" s="11">
        <v>1</v>
      </c>
      <c r="F12" s="11">
        <v>2</v>
      </c>
      <c r="G12" s="11">
        <v>6</v>
      </c>
      <c r="H12" s="11"/>
      <c r="I12" s="11">
        <v>1</v>
      </c>
      <c r="J12" s="11"/>
      <c r="K12" s="11">
        <v>10</v>
      </c>
      <c r="L12" s="11"/>
      <c r="M12" s="11"/>
      <c r="N12" s="11">
        <v>1</v>
      </c>
      <c r="P12" s="53">
        <f>SUM(C12:N12)</f>
        <v>23</v>
      </c>
    </row>
    <row r="13" spans="2:16" x14ac:dyDescent="0.3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5">
      <c r="B14" s="60" t="s">
        <v>39</v>
      </c>
      <c r="C14" s="61"/>
      <c r="D14" s="61">
        <v>2</v>
      </c>
      <c r="E14" s="61"/>
      <c r="F14" s="61"/>
      <c r="G14" s="61"/>
      <c r="H14" s="61"/>
      <c r="I14" s="61"/>
      <c r="J14" s="61"/>
      <c r="K14" s="61"/>
      <c r="L14" s="61"/>
      <c r="M14" s="61"/>
      <c r="N14" s="61"/>
      <c r="P14" s="53">
        <f>SUM(C14:N14)</f>
        <v>2</v>
      </c>
    </row>
    <row r="15" spans="2:16" x14ac:dyDescent="0.35">
      <c r="B15" s="16" t="s">
        <v>14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P15" s="53">
        <f>SUM(C15:N15)</f>
        <v>0</v>
      </c>
    </row>
    <row r="16" spans="2:16" x14ac:dyDescent="0.35">
      <c r="B16" s="27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P16" s="48"/>
    </row>
    <row r="17" spans="2:16" x14ac:dyDescent="0.35">
      <c r="B17" s="6" t="s">
        <v>0</v>
      </c>
      <c r="C17" s="58"/>
      <c r="D17" s="58"/>
      <c r="E17" s="58"/>
      <c r="F17" s="22"/>
      <c r="G17" s="58"/>
      <c r="H17" s="22"/>
      <c r="I17" s="58"/>
      <c r="J17" s="22"/>
      <c r="K17" s="58"/>
      <c r="L17" s="22"/>
      <c r="M17" s="58"/>
      <c r="N17" s="22"/>
      <c r="P17" s="49"/>
    </row>
    <row r="18" spans="2:16" x14ac:dyDescent="0.35">
      <c r="B18" s="8" t="s">
        <v>6</v>
      </c>
      <c r="C18" s="9">
        <f>C11*Params!$C$5*(1-Params!$C$3)-Params!$C$4</f>
        <v>10449.800000000001</v>
      </c>
      <c r="D18" s="9">
        <f>D11*Params!$C$5*(1-Params!$C$3)-Params!$C$4</f>
        <v>8057.8</v>
      </c>
      <c r="E18" s="9">
        <f>E11*Params!$C$5*(1-Params!$C$3)-Params!$C$4</f>
        <v>9493</v>
      </c>
      <c r="F18" s="9">
        <f>F11*Params!$C$5*(1-Params!$C$3)-Params!$C$4</f>
        <v>9014.6</v>
      </c>
      <c r="G18" s="9">
        <f>G11*Params!$C$5*(1-Params!$C$3)-Params!$C$4</f>
        <v>6144.2</v>
      </c>
      <c r="H18" s="9">
        <f>H11*Params!$C$5*(1-Params!$C$3)-Params!$C$4</f>
        <v>9493</v>
      </c>
      <c r="I18" s="9">
        <f>I11*Params!$C$5*(1-Params!$C$3)-Params!$C$4</f>
        <v>10449.800000000001</v>
      </c>
      <c r="J18" s="9">
        <f>J11*Params!$C$5*(1-Params!$C$3)-Params!$C$4</f>
        <v>9971.4</v>
      </c>
      <c r="K18" s="9">
        <f>K11*Params!$C$5*(1-Params!$C$3)-Params!$C$4</f>
        <v>5187.4000000000005</v>
      </c>
      <c r="L18" s="9">
        <f>L11*Params!$C$5*(1-Params!$C$3)-Params!$C$4</f>
        <v>10928.2</v>
      </c>
      <c r="M18" s="9">
        <f>M11*Params!$C$5*(1-Params!$C$3)-Params!$C$4</f>
        <v>9014.6</v>
      </c>
      <c r="N18" s="9">
        <f>N11*Params!$C$5*(1-Params!$C$3)-Params!$C$4</f>
        <v>9493</v>
      </c>
      <c r="O18" s="4"/>
      <c r="P18" s="37">
        <f>SUM(C18:N18)</f>
        <v>107696.8</v>
      </c>
    </row>
    <row r="19" spans="2:16" x14ac:dyDescent="0.35">
      <c r="B19" s="8" t="s">
        <v>14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4"/>
      <c r="P19" s="37">
        <f>SUM(C19:N19)</f>
        <v>0</v>
      </c>
    </row>
    <row r="20" spans="2:16" x14ac:dyDescent="0.35">
      <c r="B20" s="24" t="s">
        <v>2</v>
      </c>
      <c r="C20" s="25">
        <f t="shared" ref="C20:N20" si="1">SUM(C18:C19)</f>
        <v>10449.800000000001</v>
      </c>
      <c r="D20" s="25">
        <f t="shared" si="1"/>
        <v>8057.8</v>
      </c>
      <c r="E20" s="25">
        <f t="shared" si="1"/>
        <v>9493</v>
      </c>
      <c r="F20" s="25">
        <f t="shared" si="1"/>
        <v>9014.6</v>
      </c>
      <c r="G20" s="25">
        <f t="shared" si="1"/>
        <v>6144.2</v>
      </c>
      <c r="H20" s="25">
        <f t="shared" si="1"/>
        <v>9493</v>
      </c>
      <c r="I20" s="25">
        <f t="shared" si="1"/>
        <v>10449.800000000001</v>
      </c>
      <c r="J20" s="25">
        <f t="shared" si="1"/>
        <v>9971.4</v>
      </c>
      <c r="K20" s="25">
        <f t="shared" si="1"/>
        <v>5187.4000000000005</v>
      </c>
      <c r="L20" s="25">
        <f t="shared" si="1"/>
        <v>10928.2</v>
      </c>
      <c r="M20" s="25">
        <f t="shared" si="1"/>
        <v>9014.6</v>
      </c>
      <c r="N20" s="25">
        <f t="shared" si="1"/>
        <v>9493</v>
      </c>
      <c r="O20" s="5"/>
      <c r="P20" s="38">
        <f>SUM(C20:O20)</f>
        <v>107696.8</v>
      </c>
    </row>
    <row r="21" spans="2:16" x14ac:dyDescent="0.35">
      <c r="B21" s="27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5"/>
    </row>
    <row r="22" spans="2:16" x14ac:dyDescent="0.35">
      <c r="B22" s="26" t="s">
        <v>1</v>
      </c>
      <c r="C22" s="59"/>
      <c r="D22" s="59"/>
      <c r="E22" s="59"/>
      <c r="F22" s="28"/>
      <c r="G22" s="59"/>
      <c r="H22" s="28"/>
      <c r="I22" s="59"/>
      <c r="J22" s="28"/>
      <c r="K22" s="59"/>
      <c r="L22" s="28"/>
      <c r="M22" s="59"/>
      <c r="N22" s="28"/>
      <c r="O22" s="4"/>
      <c r="P22" s="50"/>
    </row>
    <row r="23" spans="2:16" x14ac:dyDescent="0.35">
      <c r="B23" s="8" t="s">
        <v>7</v>
      </c>
      <c r="C23" s="9">
        <v>5625.3</v>
      </c>
      <c r="D23" s="9">
        <v>5625.3</v>
      </c>
      <c r="E23" s="9">
        <v>5625.3</v>
      </c>
      <c r="F23" s="9">
        <v>5625.3</v>
      </c>
      <c r="G23" s="9">
        <v>5625.3</v>
      </c>
      <c r="H23" s="9">
        <v>5625.3</v>
      </c>
      <c r="I23" s="9">
        <v>5625.3</v>
      </c>
      <c r="J23" s="9">
        <v>5625.3</v>
      </c>
      <c r="K23" s="9">
        <v>5625.3</v>
      </c>
      <c r="L23" s="9">
        <v>5625.3</v>
      </c>
      <c r="M23" s="9">
        <v>5625.3</v>
      </c>
      <c r="N23" s="9">
        <v>5625.3</v>
      </c>
      <c r="O23" s="4"/>
      <c r="P23" s="39">
        <f>SUM(C23:N23)</f>
        <v>67503.60000000002</v>
      </c>
    </row>
    <row r="24" spans="2:16" x14ac:dyDescent="0.35">
      <c r="B24" s="8" t="s">
        <v>8</v>
      </c>
      <c r="C24" s="9">
        <f>1174.6+2235.84</f>
        <v>3410.44</v>
      </c>
      <c r="D24" s="9">
        <f>1174.6+2234.46</f>
        <v>3409.06</v>
      </c>
      <c r="E24" s="9">
        <f>1174.6+2239.99</f>
        <v>3414.5899999999997</v>
      </c>
      <c r="F24" s="9">
        <f>1174.6+2235.84</f>
        <v>3410.44</v>
      </c>
      <c r="G24" s="9">
        <f>1174.6+2261.4</f>
        <v>3436</v>
      </c>
      <c r="H24" s="9">
        <f>1174.6+2266.94</f>
        <v>3441.54</v>
      </c>
      <c r="I24" s="9">
        <f>1174.6+2261.31</f>
        <v>3435.91</v>
      </c>
      <c r="J24" s="9">
        <f>1174.6+2262.69</f>
        <v>3437.29</v>
      </c>
      <c r="K24" s="9">
        <f>1174.6+2261.31</f>
        <v>3435.91</v>
      </c>
      <c r="L24" s="9">
        <f>1174.6+2275.15</f>
        <v>3449.75</v>
      </c>
      <c r="M24" s="9">
        <f>1174.6+2261.31</f>
        <v>3435.91</v>
      </c>
      <c r="N24" s="9">
        <f>1174.6+2261.31</f>
        <v>3435.91</v>
      </c>
      <c r="O24" s="4"/>
      <c r="P24" s="39">
        <f>SUM(C24:N24)</f>
        <v>41152.75</v>
      </c>
    </row>
    <row r="25" spans="2:16" x14ac:dyDescent="0.35">
      <c r="B25" s="62" t="s">
        <v>40</v>
      </c>
      <c r="C25" s="63"/>
      <c r="D25" s="63"/>
      <c r="E25" s="63"/>
      <c r="F25" s="63"/>
      <c r="G25" s="63"/>
      <c r="H25" s="63">
        <v>1144.76</v>
      </c>
      <c r="I25" s="63"/>
      <c r="J25" s="63"/>
      <c r="K25" s="63"/>
      <c r="L25" s="63"/>
      <c r="M25" s="63"/>
      <c r="N25" s="63"/>
      <c r="O25" s="4"/>
      <c r="P25" s="39">
        <f>SUM(C25:N25)</f>
        <v>1144.76</v>
      </c>
    </row>
    <row r="26" spans="2:16" x14ac:dyDescent="0.35">
      <c r="B26" s="7" t="s">
        <v>3</v>
      </c>
      <c r="C26" s="40">
        <f t="shared" ref="C26:G26" si="2">SUM(C23:C24)</f>
        <v>9035.74</v>
      </c>
      <c r="D26" s="40">
        <f t="shared" si="2"/>
        <v>9034.36</v>
      </c>
      <c r="E26" s="40">
        <f t="shared" si="2"/>
        <v>9039.89</v>
      </c>
      <c r="F26" s="40">
        <f t="shared" si="2"/>
        <v>9035.74</v>
      </c>
      <c r="G26" s="40">
        <f t="shared" si="2"/>
        <v>9061.2999999999993</v>
      </c>
      <c r="H26" s="40">
        <f>SUM(H23:H25)</f>
        <v>10211.6</v>
      </c>
      <c r="I26" s="40">
        <f t="shared" ref="I26:N26" si="3">SUM(I23:I25)</f>
        <v>9061.2099999999991</v>
      </c>
      <c r="J26" s="40">
        <f t="shared" si="3"/>
        <v>9062.59</v>
      </c>
      <c r="K26" s="40">
        <f t="shared" si="3"/>
        <v>9061.2099999999991</v>
      </c>
      <c r="L26" s="40">
        <f t="shared" si="3"/>
        <v>9075.0499999999993</v>
      </c>
      <c r="M26" s="40">
        <f t="shared" si="3"/>
        <v>9061.2099999999991</v>
      </c>
      <c r="N26" s="40">
        <f t="shared" si="3"/>
        <v>9061.2099999999991</v>
      </c>
      <c r="O26" s="4"/>
      <c r="P26" s="41">
        <f>SUM(C26:N26)</f>
        <v>109801.10999999999</v>
      </c>
    </row>
    <row r="27" spans="2:16" x14ac:dyDescent="0.35">
      <c r="B27" s="4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5"/>
    </row>
    <row r="28" spans="2:16" x14ac:dyDescent="0.35">
      <c r="B28" s="43" t="s">
        <v>25</v>
      </c>
      <c r="C28" s="44">
        <f t="shared" ref="C28:N28" si="4">C20-C26</f>
        <v>1414.0600000000013</v>
      </c>
      <c r="D28" s="44">
        <f t="shared" si="4"/>
        <v>-976.5600000000004</v>
      </c>
      <c r="E28" s="44">
        <f t="shared" si="4"/>
        <v>453.11000000000058</v>
      </c>
      <c r="F28" s="44">
        <f t="shared" si="4"/>
        <v>-21.139999999999418</v>
      </c>
      <c r="G28" s="44">
        <f t="shared" si="4"/>
        <v>-2917.0999999999995</v>
      </c>
      <c r="H28" s="44">
        <f t="shared" si="4"/>
        <v>-718.60000000000036</v>
      </c>
      <c r="I28" s="44">
        <f t="shared" si="4"/>
        <v>1388.590000000002</v>
      </c>
      <c r="J28" s="44">
        <f t="shared" si="4"/>
        <v>908.80999999999949</v>
      </c>
      <c r="K28" s="44">
        <f t="shared" si="4"/>
        <v>-3873.8099999999986</v>
      </c>
      <c r="L28" s="44">
        <f t="shared" si="4"/>
        <v>1853.1500000000015</v>
      </c>
      <c r="M28" s="44">
        <f t="shared" si="4"/>
        <v>-46.609999999998763</v>
      </c>
      <c r="N28" s="44">
        <f t="shared" si="4"/>
        <v>431.79000000000087</v>
      </c>
      <c r="P28" s="54">
        <f>SUM(C28:O28)</f>
        <v>-2104.3099999999913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8"/>
  <sheetViews>
    <sheetView workbookViewId="0">
      <selection activeCell="I25" sqref="I25"/>
    </sheetView>
  </sheetViews>
  <sheetFormatPr baseColWidth="10" defaultRowHeight="14.5" x14ac:dyDescent="0.3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5">
      <c r="B1" s="64" t="s">
        <v>9</v>
      </c>
    </row>
    <row r="2" spans="2:16" x14ac:dyDescent="0.35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5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>
        <v>19</v>
      </c>
      <c r="I6" s="33">
        <v>19</v>
      </c>
      <c r="J6" s="33"/>
      <c r="K6" s="33"/>
      <c r="L6" s="33"/>
      <c r="M6" s="33"/>
      <c r="N6" s="33"/>
      <c r="O6" s="31"/>
      <c r="P6" s="52">
        <f>SUM(C6:N6)</f>
        <v>133</v>
      </c>
    </row>
    <row r="7" spans="2:16" x14ac:dyDescent="0.35">
      <c r="B7" s="8" t="s">
        <v>20</v>
      </c>
      <c r="C7" s="33">
        <v>22</v>
      </c>
      <c r="D7" s="33">
        <v>20</v>
      </c>
      <c r="E7" s="33">
        <v>15</v>
      </c>
      <c r="F7" s="33">
        <v>16</v>
      </c>
      <c r="G7" s="33">
        <v>18</v>
      </c>
      <c r="H7" s="33">
        <v>20</v>
      </c>
      <c r="I7" s="33">
        <v>22</v>
      </c>
      <c r="J7" s="33"/>
      <c r="K7" s="33"/>
      <c r="L7" s="33"/>
      <c r="M7" s="33"/>
      <c r="N7" s="33"/>
      <c r="O7" s="31"/>
      <c r="P7" s="52">
        <f>SUM(C7:N7)</f>
        <v>133</v>
      </c>
    </row>
    <row r="8" spans="2:16" x14ac:dyDescent="0.35">
      <c r="B8" s="16" t="s">
        <v>21</v>
      </c>
      <c r="C8" s="32">
        <f t="shared" ref="C8:N8" si="0">C7-C6</f>
        <v>3</v>
      </c>
      <c r="D8" s="32">
        <f t="shared" si="0"/>
        <v>1</v>
      </c>
      <c r="E8" s="32">
        <f t="shared" si="0"/>
        <v>-4</v>
      </c>
      <c r="F8" s="32">
        <f t="shared" si="0"/>
        <v>-3</v>
      </c>
      <c r="G8" s="32">
        <f t="shared" si="0"/>
        <v>-1</v>
      </c>
      <c r="H8" s="32">
        <f t="shared" si="0"/>
        <v>1</v>
      </c>
      <c r="I8" s="32">
        <f t="shared" si="0"/>
        <v>3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0</v>
      </c>
    </row>
    <row r="9" spans="2:16" x14ac:dyDescent="0.3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5">
      <c r="B11" s="8" t="s">
        <v>13</v>
      </c>
      <c r="C11" s="10">
        <v>22</v>
      </c>
      <c r="D11" s="10">
        <v>20</v>
      </c>
      <c r="E11" s="10">
        <v>15</v>
      </c>
      <c r="F11" s="10">
        <v>16</v>
      </c>
      <c r="G11" s="10">
        <v>18</v>
      </c>
      <c r="H11" s="10">
        <v>20</v>
      </c>
      <c r="I11" s="10">
        <v>22</v>
      </c>
      <c r="J11" s="10"/>
      <c r="K11" s="10"/>
      <c r="L11" s="10"/>
      <c r="M11" s="10"/>
      <c r="N11" s="10"/>
      <c r="P11" s="53">
        <f>SUM(C11:N11)</f>
        <v>133</v>
      </c>
    </row>
    <row r="12" spans="2:16" x14ac:dyDescent="0.35">
      <c r="B12" s="8" t="s">
        <v>15</v>
      </c>
      <c r="C12" s="11"/>
      <c r="D12" s="11"/>
      <c r="E12" s="11">
        <v>6</v>
      </c>
      <c r="F12" s="11">
        <v>5</v>
      </c>
      <c r="G12" s="11">
        <v>1</v>
      </c>
      <c r="H12" s="11"/>
      <c r="I12" s="11"/>
      <c r="J12" s="11"/>
      <c r="K12" s="11"/>
      <c r="L12" s="11"/>
      <c r="M12" s="11"/>
      <c r="N12" s="11"/>
      <c r="P12" s="53">
        <f>SUM(C12:N12)</f>
        <v>12</v>
      </c>
    </row>
    <row r="13" spans="2:16" x14ac:dyDescent="0.3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5">
      <c r="B14" s="60" t="s">
        <v>39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P14" s="53">
        <f>SUM(C14:N14)</f>
        <v>0</v>
      </c>
    </row>
    <row r="15" spans="2:16" x14ac:dyDescent="0.35">
      <c r="B15" s="16" t="s">
        <v>14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P15" s="53">
        <f>SUM(C15:N15)</f>
        <v>0</v>
      </c>
    </row>
    <row r="16" spans="2:16" x14ac:dyDescent="0.35">
      <c r="B16" s="27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P16" s="48"/>
    </row>
    <row r="17" spans="2:16" x14ac:dyDescent="0.35">
      <c r="B17" s="6" t="s">
        <v>0</v>
      </c>
      <c r="C17" s="58"/>
      <c r="D17" s="58"/>
      <c r="E17" s="58"/>
      <c r="F17" s="22"/>
      <c r="G17" s="58"/>
      <c r="H17" s="22"/>
      <c r="I17" s="58"/>
      <c r="J17" s="22"/>
      <c r="K17" s="58"/>
      <c r="L17" s="22"/>
      <c r="M17" s="58"/>
      <c r="N17" s="22"/>
      <c r="P17" s="49"/>
    </row>
    <row r="18" spans="2:16" x14ac:dyDescent="0.35">
      <c r="B18" s="8" t="s">
        <v>6</v>
      </c>
      <c r="C18" s="9">
        <f>C11*Params!$C$5*(1-Params!$C$3)-Params!$C$4</f>
        <v>10449.800000000001</v>
      </c>
      <c r="D18" s="9">
        <f>D11*Params!$C$5*(1-Params!$C$3)-Params!$C$4</f>
        <v>9493</v>
      </c>
      <c r="E18" s="9">
        <f>E11*Params!$C$5*(1-Params!$C$3)-Params!$C$4</f>
        <v>7101</v>
      </c>
      <c r="F18" s="9">
        <f>F11*Params!$C$5*(1-Params!$C$3)-Params!$C$4</f>
        <v>7579.4000000000005</v>
      </c>
      <c r="G18" s="9">
        <f>G11*Params!$C$5*(1-Params!$C$3)-Params!$C$4</f>
        <v>8536.2000000000007</v>
      </c>
      <c r="H18" s="9">
        <f>H11*Params!$C$5*(1-Params!$C$3)-Params!$C$4</f>
        <v>9493</v>
      </c>
      <c r="I18" s="9">
        <f>I11*Params!$C$5*(1-Params!$C$3)-Params!$C$4</f>
        <v>10449.800000000001</v>
      </c>
      <c r="J18" s="9"/>
      <c r="K18" s="9"/>
      <c r="L18" s="9"/>
      <c r="M18" s="9"/>
      <c r="N18" s="9"/>
      <c r="O18" s="4"/>
      <c r="P18" s="37">
        <f>SUM(C18:N18)</f>
        <v>63102.200000000012</v>
      </c>
    </row>
    <row r="19" spans="2:16" x14ac:dyDescent="0.35">
      <c r="B19" s="8" t="s">
        <v>14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4"/>
      <c r="P19" s="37">
        <f>SUM(C19:N19)</f>
        <v>0</v>
      </c>
    </row>
    <row r="20" spans="2:16" x14ac:dyDescent="0.35">
      <c r="B20" s="24" t="s">
        <v>2</v>
      </c>
      <c r="C20" s="25">
        <f t="shared" ref="C20:N20" si="1">SUM(C18:C19)</f>
        <v>10449.800000000001</v>
      </c>
      <c r="D20" s="25">
        <f t="shared" si="1"/>
        <v>9493</v>
      </c>
      <c r="E20" s="25">
        <f t="shared" si="1"/>
        <v>7101</v>
      </c>
      <c r="F20" s="25">
        <f t="shared" si="1"/>
        <v>7579.4000000000005</v>
      </c>
      <c r="G20" s="25">
        <f t="shared" si="1"/>
        <v>8536.2000000000007</v>
      </c>
      <c r="H20" s="25">
        <f t="shared" si="1"/>
        <v>9493</v>
      </c>
      <c r="I20" s="25">
        <f t="shared" si="1"/>
        <v>10449.800000000001</v>
      </c>
      <c r="J20" s="25">
        <f t="shared" si="1"/>
        <v>0</v>
      </c>
      <c r="K20" s="25">
        <f t="shared" si="1"/>
        <v>0</v>
      </c>
      <c r="L20" s="25">
        <f t="shared" si="1"/>
        <v>0</v>
      </c>
      <c r="M20" s="25">
        <f t="shared" si="1"/>
        <v>0</v>
      </c>
      <c r="N20" s="25">
        <f t="shared" si="1"/>
        <v>0</v>
      </c>
      <c r="O20" s="5"/>
      <c r="P20" s="38">
        <f>SUM(C20:O20)</f>
        <v>63102.200000000012</v>
      </c>
    </row>
    <row r="21" spans="2:16" x14ac:dyDescent="0.35">
      <c r="B21" s="27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5"/>
    </row>
    <row r="22" spans="2:16" x14ac:dyDescent="0.35">
      <c r="B22" s="26" t="s">
        <v>1</v>
      </c>
      <c r="C22" s="59"/>
      <c r="D22" s="59"/>
      <c r="E22" s="59"/>
      <c r="F22" s="28"/>
      <c r="G22" s="59"/>
      <c r="H22" s="28"/>
      <c r="I22" s="59"/>
      <c r="J22" s="28"/>
      <c r="K22" s="59"/>
      <c r="L22" s="28"/>
      <c r="M22" s="59"/>
      <c r="N22" s="28"/>
      <c r="O22" s="4"/>
      <c r="P22" s="50"/>
    </row>
    <row r="23" spans="2:16" x14ac:dyDescent="0.35">
      <c r="B23" s="8" t="s">
        <v>7</v>
      </c>
      <c r="C23" s="9">
        <v>5626.19</v>
      </c>
      <c r="D23" s="9">
        <v>5626.19</v>
      </c>
      <c r="E23" s="9">
        <v>5626.19</v>
      </c>
      <c r="F23" s="9">
        <v>5626.19</v>
      </c>
      <c r="G23" s="9">
        <v>5626.19</v>
      </c>
      <c r="H23" s="9">
        <v>5626.19</v>
      </c>
      <c r="I23" s="9">
        <v>5626.19</v>
      </c>
      <c r="J23" s="9"/>
      <c r="K23" s="9"/>
      <c r="L23" s="9"/>
      <c r="M23" s="9"/>
      <c r="N23" s="9"/>
      <c r="O23" s="4"/>
      <c r="P23" s="39">
        <f>SUM(C23:N23)</f>
        <v>39383.33</v>
      </c>
    </row>
    <row r="24" spans="2:16" x14ac:dyDescent="0.35">
      <c r="B24" s="8" t="s">
        <v>8</v>
      </c>
      <c r="C24" s="9">
        <f>1180.67+2269.04</f>
        <v>3449.71</v>
      </c>
      <c r="D24" s="9">
        <f>1180.67+2267.66</f>
        <v>3448.33</v>
      </c>
      <c r="E24" s="9">
        <f>1180.67+2267.66</f>
        <v>3448.33</v>
      </c>
      <c r="F24" s="9">
        <f>1180.67+2275.97</f>
        <v>3456.64</v>
      </c>
      <c r="G24" s="9">
        <f>1180.67+2274.58</f>
        <v>3455.25</v>
      </c>
      <c r="H24" s="9">
        <f>1180.67+2269.05</f>
        <v>3449.7200000000003</v>
      </c>
      <c r="I24" s="9">
        <f>1180.67+2267.67</f>
        <v>3448.34</v>
      </c>
      <c r="J24" s="9"/>
      <c r="K24" s="9"/>
      <c r="L24" s="9"/>
      <c r="M24" s="9"/>
      <c r="N24" s="9"/>
      <c r="O24" s="4"/>
      <c r="P24" s="39">
        <f>SUM(C24:N24)</f>
        <v>24156.32</v>
      </c>
    </row>
    <row r="25" spans="2:16" x14ac:dyDescent="0.35">
      <c r="B25" s="62" t="s">
        <v>40</v>
      </c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4"/>
      <c r="P25" s="39">
        <f>SUM(C25:N25)</f>
        <v>0</v>
      </c>
    </row>
    <row r="26" spans="2:16" x14ac:dyDescent="0.35">
      <c r="B26" s="7" t="s">
        <v>3</v>
      </c>
      <c r="C26" s="40">
        <f>SUM(C23:C24)</f>
        <v>9075.9</v>
      </c>
      <c r="D26" s="40">
        <f>SUM(D23:D24)</f>
        <v>9074.52</v>
      </c>
      <c r="E26" s="40">
        <f>SUM(E23:E24)</f>
        <v>9074.52</v>
      </c>
      <c r="F26" s="40">
        <f>SUM(F23:F24)</f>
        <v>9082.83</v>
      </c>
      <c r="G26" s="40">
        <f>SUM(G23:G24)</f>
        <v>9081.4399999999987</v>
      </c>
      <c r="H26" s="40">
        <f t="shared" ref="H26:N26" si="2">SUM(H23:H25)</f>
        <v>9075.91</v>
      </c>
      <c r="I26" s="40">
        <f t="shared" si="2"/>
        <v>9074.5299999999988</v>
      </c>
      <c r="J26" s="40">
        <f t="shared" si="2"/>
        <v>0</v>
      </c>
      <c r="K26" s="40">
        <f t="shared" si="2"/>
        <v>0</v>
      </c>
      <c r="L26" s="40">
        <f t="shared" si="2"/>
        <v>0</v>
      </c>
      <c r="M26" s="40">
        <f t="shared" si="2"/>
        <v>0</v>
      </c>
      <c r="N26" s="40">
        <f t="shared" si="2"/>
        <v>0</v>
      </c>
      <c r="O26" s="4"/>
      <c r="P26" s="41">
        <f>SUM(C26:N26)</f>
        <v>63539.649999999994</v>
      </c>
    </row>
    <row r="27" spans="2:16" x14ac:dyDescent="0.35">
      <c r="B27" s="4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5"/>
    </row>
    <row r="28" spans="2:16" x14ac:dyDescent="0.35">
      <c r="B28" s="43" t="s">
        <v>25</v>
      </c>
      <c r="C28" s="44">
        <f t="shared" ref="C28:N28" si="3">C20-C26</f>
        <v>1373.9000000000015</v>
      </c>
      <c r="D28" s="44">
        <f t="shared" si="3"/>
        <v>418.47999999999956</v>
      </c>
      <c r="E28" s="44">
        <f t="shared" si="3"/>
        <v>-1973.5200000000004</v>
      </c>
      <c r="F28" s="44">
        <f t="shared" si="3"/>
        <v>-1503.4299999999994</v>
      </c>
      <c r="G28" s="44">
        <f t="shared" si="3"/>
        <v>-545.23999999999796</v>
      </c>
      <c r="H28" s="44">
        <f t="shared" si="3"/>
        <v>417.09000000000015</v>
      </c>
      <c r="I28" s="44">
        <f t="shared" si="3"/>
        <v>1375.2700000000023</v>
      </c>
      <c r="J28" s="44">
        <f t="shared" si="3"/>
        <v>0</v>
      </c>
      <c r="K28" s="44">
        <f t="shared" si="3"/>
        <v>0</v>
      </c>
      <c r="L28" s="44">
        <f t="shared" si="3"/>
        <v>0</v>
      </c>
      <c r="M28" s="44">
        <f t="shared" si="3"/>
        <v>0</v>
      </c>
      <c r="N28" s="44">
        <f t="shared" si="3"/>
        <v>0</v>
      </c>
      <c r="P28" s="54">
        <f>SUM(C28:O28)</f>
        <v>-437.44999999999436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C5" sqref="C5"/>
    </sheetView>
  </sheetViews>
  <sheetFormatPr baseColWidth="10" defaultRowHeight="14.5" x14ac:dyDescent="0.35"/>
  <cols>
    <col min="1" max="1" width="2" customWidth="1"/>
    <col min="2" max="2" width="32" customWidth="1"/>
    <col min="3" max="3" width="28.81640625" customWidth="1"/>
  </cols>
  <sheetData>
    <row r="2" spans="2:3" ht="30" customHeight="1" x14ac:dyDescent="0.35">
      <c r="B2" s="66" t="s">
        <v>22</v>
      </c>
      <c r="C2" s="67"/>
    </row>
    <row r="3" spans="2:3" ht="30" customHeight="1" x14ac:dyDescent="0.35">
      <c r="B3" s="29" t="s">
        <v>11</v>
      </c>
      <c r="C3" s="30">
        <v>0.08</v>
      </c>
    </row>
    <row r="4" spans="2:3" ht="30" customHeight="1" x14ac:dyDescent="0.35">
      <c r="B4" s="29" t="s">
        <v>12</v>
      </c>
      <c r="C4" s="29">
        <v>75</v>
      </c>
    </row>
    <row r="5" spans="2:3" ht="30" customHeight="1" x14ac:dyDescent="0.35">
      <c r="B5" s="29" t="s">
        <v>38</v>
      </c>
      <c r="C5" s="29">
        <v>520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tabSelected="1" workbookViewId="0">
      <selection activeCell="C6" sqref="C6"/>
    </sheetView>
  </sheetViews>
  <sheetFormatPr baseColWidth="10" defaultRowHeight="14.5" x14ac:dyDescent="0.35"/>
  <cols>
    <col min="2" max="2" width="20.36328125" customWidth="1"/>
  </cols>
  <sheetData>
    <row r="2" spans="2:3" ht="17" customHeight="1" x14ac:dyDescent="0.35">
      <c r="B2" s="68" t="s">
        <v>23</v>
      </c>
      <c r="C2" s="68"/>
    </row>
    <row r="3" spans="2:3" ht="17" customHeight="1" x14ac:dyDescent="0.35">
      <c r="B3" s="34" t="s">
        <v>24</v>
      </c>
      <c r="C3" s="35">
        <f>'2023'!P26+'2024'!P28+'2025'!P28</f>
        <v>-3026.1499999999855</v>
      </c>
    </row>
    <row r="4" spans="2:3" ht="17" customHeight="1" x14ac:dyDescent="0.35">
      <c r="B4" s="34" t="s">
        <v>26</v>
      </c>
      <c r="C4" s="36">
        <f>SUM('2023'!P12)+('2024'!P12)+'2025'!P12</f>
        <v>36</v>
      </c>
    </row>
    <row r="5" spans="2:3" x14ac:dyDescent="0.35">
      <c r="B5" t="s">
        <v>41</v>
      </c>
      <c r="C5">
        <f>(2.08*19-0.35)-C4</f>
        <v>3.1700000000000017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96</vt:i4>
      </vt:variant>
    </vt:vector>
  </HeadingPairs>
  <TitlesOfParts>
    <vt:vector size="101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2025-07-24T11:36:55Z</dcterms:modified>
</cp:coreProperties>
</file>