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7\"/>
    </mc:Choice>
  </mc:AlternateContent>
  <xr:revisionPtr revIDLastSave="0" documentId="13_ncr:1_{09BBC1A2-3502-46EF-89AF-945A94BEA73C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4" sheetId="14" r:id="rId1"/>
    <sheet name="2025" sheetId="15" r:id="rId2"/>
    <sheet name="Params" sheetId="10" r:id="rId3"/>
    <sheet name="Synthése" sheetId="13" r:id="rId4"/>
  </sheets>
  <definedNames>
    <definedName name="AOUT" localSheetId="0">'2024'!$J$3</definedName>
    <definedName name="AOUT" localSheetId="1">'2025'!$J$3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'2024'!$F$3</definedName>
    <definedName name="AVRIL" localSheetId="1">'2025'!$F$3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'2024'!$D$3</definedName>
    <definedName name="FEVRIER" localSheetId="1">'2025'!$D$3</definedName>
    <definedName name="FEVRIER">#REF!</definedName>
    <definedName name="FRAIS_KM" localSheetId="0">'2024'!$B$30</definedName>
    <definedName name="FRAIS_KM" localSheetId="1">'2025'!$B$31</definedName>
    <definedName name="JANVIER" localSheetId="0">'2024'!$C$3</definedName>
    <definedName name="JANVIER" localSheetId="1">'2025'!$C$3</definedName>
    <definedName name="JANVIER">#REF!</definedName>
    <definedName name="JUILLET" localSheetId="0">'2024'!$I$3</definedName>
    <definedName name="JUILLET" localSheetId="1">'2025'!$I$3</definedName>
    <definedName name="JUILLET">#REF!</definedName>
    <definedName name="JUIN" localSheetId="0">'2024'!$H$3</definedName>
    <definedName name="JUIN" localSheetId="1">'2025'!$H$3</definedName>
    <definedName name="JUIN">#REF!</definedName>
    <definedName name="MAI" localSheetId="0">'2024'!$G$3</definedName>
    <definedName name="MAI" localSheetId="1">'2025'!$G$3</definedName>
    <definedName name="MAI">#REF!</definedName>
    <definedName name="MARS" localSheetId="0">'2024'!$E$3</definedName>
    <definedName name="MARS" localSheetId="1">'2025'!$E$3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MBRE_KM" localSheetId="0">'2024'!$B$29</definedName>
    <definedName name="NOMBRE_KM" localSheetId="1">'2025'!$B$30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'2025'!$K$3</definedName>
    <definedName name="SEPTEMBRE">#REF!</definedName>
    <definedName name="SOLDE" localSheetId="0">'2024'!$B$27</definedName>
    <definedName name="SOLDE" localSheetId="1">'2025'!$B$28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KM" localSheetId="0">'2024'!$B$24</definedName>
    <definedName name="SORTIES_FRAIS_KM" localSheetId="1">'2025'!$B$24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'2024'!$B$25</definedName>
    <definedName name="TOTAL_SORTIES" localSheetId="1">'2025'!$B$26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26" i="15" l="1"/>
  <c r="I26" i="15"/>
  <c r="I23" i="15"/>
  <c r="I17" i="15"/>
  <c r="H23" i="15" l="1"/>
  <c r="H17" i="15"/>
  <c r="G23" i="15" l="1"/>
  <c r="G17" i="15"/>
  <c r="F17" i="15" l="1"/>
  <c r="F23" i="15"/>
  <c r="P31" i="15" l="1"/>
  <c r="P30" i="15"/>
  <c r="N26" i="15"/>
  <c r="M26" i="15"/>
  <c r="L26" i="15"/>
  <c r="K26" i="15"/>
  <c r="H26" i="15"/>
  <c r="G26" i="15"/>
  <c r="F26" i="15"/>
  <c r="P24" i="15"/>
  <c r="E23" i="15"/>
  <c r="E26" i="15" s="1"/>
  <c r="D23" i="15"/>
  <c r="D26" i="15" s="1"/>
  <c r="C23" i="15"/>
  <c r="C26" i="15" s="1"/>
  <c r="P22" i="15"/>
  <c r="N19" i="15"/>
  <c r="M19" i="15"/>
  <c r="L19" i="15"/>
  <c r="K19" i="15"/>
  <c r="J19" i="15"/>
  <c r="I19" i="15"/>
  <c r="H19" i="15"/>
  <c r="H28" i="15" s="1"/>
  <c r="G19" i="15"/>
  <c r="F19" i="15"/>
  <c r="P18" i="15"/>
  <c r="E17" i="15"/>
  <c r="E19" i="15" s="1"/>
  <c r="D17" i="15"/>
  <c r="D19" i="15" s="1"/>
  <c r="C17" i="15"/>
  <c r="C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0" i="14"/>
  <c r="P29" i="14"/>
  <c r="P32" i="14" s="1"/>
  <c r="E25" i="14"/>
  <c r="D25" i="14"/>
  <c r="C25" i="14"/>
  <c r="P24" i="14"/>
  <c r="N23" i="14"/>
  <c r="N25" i="14" s="1"/>
  <c r="M23" i="14"/>
  <c r="M25" i="14" s="1"/>
  <c r="L23" i="14"/>
  <c r="L25" i="14" s="1"/>
  <c r="K23" i="14"/>
  <c r="K25" i="14" s="1"/>
  <c r="J23" i="14"/>
  <c r="J25" i="14" s="1"/>
  <c r="I23" i="14"/>
  <c r="I25" i="14" s="1"/>
  <c r="H23" i="14"/>
  <c r="H25" i="14" s="1"/>
  <c r="G23" i="14"/>
  <c r="G25" i="14" s="1"/>
  <c r="F23" i="14"/>
  <c r="F25" i="14" s="1"/>
  <c r="P22" i="14"/>
  <c r="L19" i="14"/>
  <c r="E19" i="14"/>
  <c r="D19" i="14"/>
  <c r="C19" i="14"/>
  <c r="P18" i="14"/>
  <c r="N17" i="14"/>
  <c r="N19" i="14" s="1"/>
  <c r="M17" i="14"/>
  <c r="M19" i="14" s="1"/>
  <c r="L17" i="14"/>
  <c r="K17" i="14"/>
  <c r="K19" i="14" s="1"/>
  <c r="J17" i="14"/>
  <c r="J19" i="14" s="1"/>
  <c r="I17" i="14"/>
  <c r="I19" i="14" s="1"/>
  <c r="H17" i="14"/>
  <c r="H19" i="14" s="1"/>
  <c r="G17" i="14"/>
  <c r="G19" i="14" s="1"/>
  <c r="F17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N28" i="15" l="1"/>
  <c r="L27" i="14"/>
  <c r="I28" i="15"/>
  <c r="M27" i="14"/>
  <c r="G27" i="14"/>
  <c r="J28" i="15"/>
  <c r="C4" i="13"/>
  <c r="C5" i="13" s="1"/>
  <c r="G28" i="15"/>
  <c r="E27" i="14"/>
  <c r="E28" i="15"/>
  <c r="C27" i="14"/>
  <c r="I27" i="14"/>
  <c r="D28" i="15"/>
  <c r="J27" i="14"/>
  <c r="D27" i="14"/>
  <c r="H27" i="14"/>
  <c r="P33" i="14"/>
  <c r="K27" i="14"/>
  <c r="L28" i="15"/>
  <c r="M28" i="15"/>
  <c r="P23" i="15"/>
  <c r="K28" i="15"/>
  <c r="P8" i="14"/>
  <c r="P17" i="14"/>
  <c r="N27" i="14"/>
  <c r="P23" i="14"/>
  <c r="F28" i="15"/>
  <c r="P8" i="15"/>
  <c r="P25" i="14"/>
  <c r="P26" i="15"/>
  <c r="C28" i="15"/>
  <c r="P19" i="15"/>
  <c r="F19" i="14"/>
  <c r="F27" i="14" s="1"/>
  <c r="P17" i="15"/>
  <c r="P19" i="14" l="1"/>
  <c r="P27" i="14"/>
  <c r="P28" i="15"/>
  <c r="C3" i="13" s="1"/>
</calcChain>
</file>

<file path=xl/sharedStrings.xml><?xml version="1.0" encoding="utf-8"?>
<sst xmlns="http://schemas.openxmlformats.org/spreadsheetml/2006/main" count="83" uniqueCount="46">
  <si>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</si>
  <si>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</si>
  <si>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</si>
  <si>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</si>
  <si>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</si>
  <si>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</si>
  <si>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</si>
  <si>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</si>
  <si>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</si>
  <si>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</si>
  <si>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</si>
  <si>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</si>
  <si>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</si>
  <si>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</si>
  <si>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</si>
  <si>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</si>
  <si>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</si>
  <si>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</si>
  <si>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</si>
  <si>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</si>
  <si>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</si>
  <si>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</si>
  <si>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</si>
  <si>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</si>
  <si>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</si>
  <si>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</si>
  <si>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</si>
  <si>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</si>
  <si>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</si>
  <si>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</si>
  <si>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</si>
  <si>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</si>
  <si>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</si>
  <si>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</si>
  <si>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</si>
  <si>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</si>
  <si>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</si>
  <si>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</si>
  <si>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</si>
  <si>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</si>
  <si>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</si>
  <si>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(Avril 2024)</t>
  </si>
  <si>
    <t>Frais KM annuel à payer</t>
  </si>
  <si>
    <t>Régularisation Frais KM</t>
  </si>
  <si>
    <t>Solde Congé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</si>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</sst>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4" fontId="4" fillId="4" borderId="2" xfId="0" applyNumberFormat="1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B1" workbookViewId="0">
      <selection activeCell="F3" sqref="F3:N3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171</v>
      </c>
    </row>
    <row r="7" spans="2:16" x14ac:dyDescent="0.3">
      <c r="B7" s="9" t="s">
        <v>21</v>
      </c>
      <c r="C7" s="37"/>
      <c r="D7" s="37"/>
      <c r="E7" s="37"/>
      <c r="F7" s="37">
        <v>14</v>
      </c>
      <c r="G7" s="37">
        <v>19</v>
      </c>
      <c r="H7" s="37">
        <v>20</v>
      </c>
      <c r="I7" s="37">
        <v>23</v>
      </c>
      <c r="J7" s="37">
        <v>21</v>
      </c>
      <c r="K7" s="37">
        <v>21</v>
      </c>
      <c r="L7" s="37">
        <v>23</v>
      </c>
      <c r="M7" s="37">
        <v>19</v>
      </c>
      <c r="N7" s="37">
        <v>21</v>
      </c>
      <c r="O7" s="36"/>
      <c r="P7" s="57">
        <f>SUM(C7:N7)</f>
        <v>181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-5</v>
      </c>
      <c r="G8" s="63">
        <f t="shared" si="0"/>
        <v>0</v>
      </c>
      <c r="H8" s="63">
        <f t="shared" si="0"/>
        <v>1</v>
      </c>
      <c r="I8" s="63">
        <f t="shared" si="0"/>
        <v>4</v>
      </c>
      <c r="J8" s="63">
        <f t="shared" si="0"/>
        <v>2</v>
      </c>
      <c r="K8" s="63">
        <f t="shared" si="0"/>
        <v>2</v>
      </c>
      <c r="L8" s="63">
        <f t="shared" si="0"/>
        <v>4</v>
      </c>
      <c r="M8" s="63">
        <f t="shared" si="0"/>
        <v>0</v>
      </c>
      <c r="N8" s="63">
        <f t="shared" si="0"/>
        <v>2</v>
      </c>
      <c r="O8" s="36"/>
      <c r="P8" s="57">
        <f>SUM(C8:N8)</f>
        <v>10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>
        <v>13.76</v>
      </c>
      <c r="G11" s="11">
        <v>19</v>
      </c>
      <c r="H11" s="11">
        <v>20</v>
      </c>
      <c r="I11" s="11">
        <v>23</v>
      </c>
      <c r="J11" s="11">
        <v>21</v>
      </c>
      <c r="K11" s="11">
        <v>21</v>
      </c>
      <c r="L11" s="11">
        <v>23</v>
      </c>
      <c r="M11" s="11">
        <v>19</v>
      </c>
      <c r="N11" s="11">
        <v>21</v>
      </c>
      <c r="P11" s="58">
        <f>SUM(C11:N11)</f>
        <v>180.76</v>
      </c>
    </row>
    <row r="12" spans="2:16" x14ac:dyDescent="0.3">
      <c r="B12" s="9" t="s">
        <v>16</v>
      </c>
      <c r="C12" s="12"/>
      <c r="D12" s="12"/>
      <c r="E12" s="12"/>
      <c r="F12" s="12">
        <v>7.24</v>
      </c>
      <c r="G12" s="12"/>
      <c r="H12" s="12"/>
      <c r="I12" s="12"/>
      <c r="J12" s="12"/>
      <c r="K12" s="12"/>
      <c r="L12" s="12"/>
      <c r="M12" s="12"/>
      <c r="N12" s="12"/>
      <c r="P12" s="58">
        <f>SUM(C12:N12)</f>
        <v>7.24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>
        <f>F11*Params!$C$5*(1-Params!$C$3)-Params!$C$4</f>
        <v>3722.76</v>
      </c>
      <c r="G17" s="10">
        <f>G11*Params!$C$5*(1-Params!$C$3)-Params!$C$4</f>
        <v>5169</v>
      </c>
      <c r="H17" s="10">
        <f>H11*Params!$C$5*(1-Params!$C$3)-Params!$C$4</f>
        <v>5445</v>
      </c>
      <c r="I17" s="10">
        <f>I11*Params!$C$5*(1-Params!$C$3)-Params!$C$4</f>
        <v>6273</v>
      </c>
      <c r="J17" s="10">
        <f>J11*Params!$C$5*(1-Params!$C$3)-Params!$C$4</f>
        <v>5721</v>
      </c>
      <c r="K17" s="10">
        <f>K11*Params!$C$5*(1-Params!$C$3)-Params!$C$4</f>
        <v>5721</v>
      </c>
      <c r="L17" s="10">
        <f>L11*Params!$C$5*(1-Params!$C$3)-Params!$C$4</f>
        <v>6273</v>
      </c>
      <c r="M17" s="10">
        <f>M11*Params!$C$5*(1-Params!$C$3)-Params!$C$4</f>
        <v>5169</v>
      </c>
      <c r="N17" s="10">
        <f>N11*Params!$C$5*(1-Params!$C$3)-Params!$C$4</f>
        <v>5721</v>
      </c>
      <c r="O17" s="4"/>
      <c r="P17" s="41">
        <f>SUM(C17:N17)</f>
        <v>49214.76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3722.76</v>
      </c>
      <c r="G19" s="28">
        <f t="shared" si="1"/>
        <v>5169</v>
      </c>
      <c r="H19" s="28">
        <f t="shared" si="1"/>
        <v>5445</v>
      </c>
      <c r="I19" s="28">
        <f t="shared" si="1"/>
        <v>6273</v>
      </c>
      <c r="J19" s="28">
        <f t="shared" si="1"/>
        <v>5721</v>
      </c>
      <c r="K19" s="28">
        <f t="shared" si="1"/>
        <v>5721</v>
      </c>
      <c r="L19" s="28">
        <f t="shared" si="1"/>
        <v>6273</v>
      </c>
      <c r="M19" s="28">
        <f t="shared" si="1"/>
        <v>5169</v>
      </c>
      <c r="N19" s="28">
        <f t="shared" si="1"/>
        <v>5721</v>
      </c>
      <c r="O19" s="5"/>
      <c r="P19" s="42">
        <f>SUM(C19:O19)</f>
        <v>49214.76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>
        <v>2829.26</v>
      </c>
      <c r="G22" s="10">
        <v>2829.26</v>
      </c>
      <c r="H22" s="10">
        <v>2829.26</v>
      </c>
      <c r="I22" s="10">
        <v>2829.26</v>
      </c>
      <c r="J22" s="10">
        <v>2829.26</v>
      </c>
      <c r="K22" s="10">
        <v>2829.26</v>
      </c>
      <c r="L22" s="10">
        <v>2911.64</v>
      </c>
      <c r="M22" s="10">
        <v>2911.64</v>
      </c>
      <c r="N22" s="10">
        <v>2911.64</v>
      </c>
      <c r="O22" s="4"/>
      <c r="P22" s="43">
        <f>SUM(C22:N22)</f>
        <v>25710.48</v>
      </c>
    </row>
    <row r="23" spans="2:16" x14ac:dyDescent="0.3">
      <c r="B23" s="9" t="s">
        <v>8</v>
      </c>
      <c r="C23" s="10"/>
      <c r="D23" s="10"/>
      <c r="E23" s="10"/>
      <c r="F23" s="10">
        <f>667.59+950.42</f>
        <v>1618.01</v>
      </c>
      <c r="G23" s="10">
        <f>667.59+958.44</f>
        <v>1626.0300000000002</v>
      </c>
      <c r="H23" s="10">
        <f>667.59+950.41</f>
        <v>1618</v>
      </c>
      <c r="I23" s="10">
        <f>667.59+951.88</f>
        <v>1619.47</v>
      </c>
      <c r="J23" s="10">
        <f>667.59+951.88</f>
        <v>1619.47</v>
      </c>
      <c r="K23" s="10">
        <f>667.59+951.88</f>
        <v>1619.47</v>
      </c>
      <c r="L23" s="10">
        <f>685.71+1025.67</f>
        <v>1711.38</v>
      </c>
      <c r="M23" s="10">
        <f>685.71+994.85</f>
        <v>1680.56</v>
      </c>
      <c r="N23" s="10">
        <f>685.71+991.96</f>
        <v>1677.67</v>
      </c>
      <c r="O23" s="4"/>
      <c r="P23" s="43">
        <f>SUM(C23:N23)</f>
        <v>14790.060000000001</v>
      </c>
    </row>
    <row r="24" spans="2:16" x14ac:dyDescent="0.3">
      <c r="B24" s="55" t="s">
        <v>40</v>
      </c>
      <c r="C24" s="10"/>
      <c r="D24" s="10"/>
      <c r="E24" s="10"/>
      <c r="F24" s="10">
        <v>224.95</v>
      </c>
      <c r="G24" s="10">
        <v>439.15</v>
      </c>
      <c r="H24" s="10">
        <v>457</v>
      </c>
      <c r="I24" s="10">
        <v>510.55</v>
      </c>
      <c r="J24" s="10">
        <v>474.85</v>
      </c>
      <c r="K24" s="10">
        <v>474.85</v>
      </c>
      <c r="L24" s="10">
        <v>346.33</v>
      </c>
      <c r="M24" s="10">
        <v>303.49</v>
      </c>
      <c r="N24" s="10">
        <v>819.91</v>
      </c>
      <c r="O24" s="4"/>
      <c r="P24" s="43">
        <f>SUM(C24:N24)</f>
        <v>4051.08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4672.22</v>
      </c>
      <c r="G25" s="44">
        <f t="shared" si="2"/>
        <v>4894.4400000000005</v>
      </c>
      <c r="H25" s="44">
        <f t="shared" si="2"/>
        <v>4904.26</v>
      </c>
      <c r="I25" s="44">
        <f t="shared" si="2"/>
        <v>4959.2800000000007</v>
      </c>
      <c r="J25" s="44">
        <f t="shared" si="2"/>
        <v>4923.5800000000008</v>
      </c>
      <c r="K25" s="44">
        <f t="shared" si="2"/>
        <v>4923.5800000000008</v>
      </c>
      <c r="L25" s="44">
        <f t="shared" si="2"/>
        <v>4969.3500000000004</v>
      </c>
      <c r="M25" s="44">
        <f t="shared" si="2"/>
        <v>4895.6899999999996</v>
      </c>
      <c r="N25" s="44">
        <f t="shared" si="2"/>
        <v>5409.2199999999993</v>
      </c>
      <c r="O25" s="4"/>
      <c r="P25" s="60">
        <f>SUM(C25:N25)</f>
        <v>44551.62000000001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-949.46</v>
      </c>
      <c r="G27" s="47">
        <f t="shared" si="3"/>
        <v>274.55999999999949</v>
      </c>
      <c r="H27" s="47">
        <f t="shared" si="3"/>
        <v>540.73999999999978</v>
      </c>
      <c r="I27" s="47">
        <f t="shared" si="3"/>
        <v>1313.7199999999993</v>
      </c>
      <c r="J27" s="47">
        <f t="shared" si="3"/>
        <v>797.41999999999916</v>
      </c>
      <c r="K27" s="47">
        <f t="shared" si="3"/>
        <v>797.41999999999916</v>
      </c>
      <c r="L27" s="47">
        <f t="shared" si="3"/>
        <v>1303.6499999999996</v>
      </c>
      <c r="M27" s="47">
        <f t="shared" si="3"/>
        <v>273.3100000000004</v>
      </c>
      <c r="N27" s="47">
        <f t="shared" si="3"/>
        <v>311.78000000000065</v>
      </c>
      <c r="P27" s="59">
        <f>SUM(C27:O27)</f>
        <v>4663.1399999999976</v>
      </c>
    </row>
    <row r="29" spans="2:16" x14ac:dyDescent="0.3">
      <c r="B29" s="62" t="s">
        <v>37</v>
      </c>
      <c r="C29" s="54"/>
      <c r="D29" s="54"/>
      <c r="E29" s="54"/>
      <c r="F29" s="54">
        <v>350</v>
      </c>
      <c r="G29" s="54">
        <v>950</v>
      </c>
      <c r="H29" s="54">
        <v>1000</v>
      </c>
      <c r="I29" s="54">
        <v>1150</v>
      </c>
      <c r="J29" s="54">
        <v>1050</v>
      </c>
      <c r="K29" s="54">
        <v>1050</v>
      </c>
      <c r="L29" s="54">
        <v>690</v>
      </c>
      <c r="M29" s="54">
        <v>570</v>
      </c>
      <c r="N29" s="54">
        <v>630</v>
      </c>
      <c r="P29" s="61">
        <f>SUM(C29:N29)</f>
        <v>7440</v>
      </c>
    </row>
    <row r="30" spans="2:16" x14ac:dyDescent="0.3">
      <c r="B30" s="62" t="s">
        <v>38</v>
      </c>
      <c r="C30" s="54"/>
      <c r="D30" s="54"/>
      <c r="E30" s="54"/>
      <c r="F30" s="54">
        <v>224.95</v>
      </c>
      <c r="G30" s="54">
        <v>439.15</v>
      </c>
      <c r="H30" s="54">
        <v>457</v>
      </c>
      <c r="I30" s="54">
        <v>510.55</v>
      </c>
      <c r="J30" s="54">
        <v>474.85</v>
      </c>
      <c r="K30" s="54">
        <v>474.85</v>
      </c>
      <c r="L30" s="54">
        <v>346.33</v>
      </c>
      <c r="M30" s="54">
        <v>303.49</v>
      </c>
      <c r="N30" s="54">
        <v>819.91</v>
      </c>
      <c r="P30" s="61">
        <f>SUM(C30:N30)</f>
        <v>4051.08</v>
      </c>
    </row>
    <row r="32" spans="2:16" x14ac:dyDescent="0.3">
      <c r="N32" s="54" t="s">
        <v>42</v>
      </c>
      <c r="P32" s="61">
        <f>(P29*0.357) + 1395</f>
        <v>4051.08</v>
      </c>
    </row>
    <row r="33" spans="14:16" x14ac:dyDescent="0.3">
      <c r="N33" s="54" t="s">
        <v>43</v>
      </c>
      <c r="P33" s="61">
        <f>P32-P30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1"/>
  <sheetViews>
    <sheetView topLeftCell="B1" workbookViewId="0">
      <selection activeCell="I33" sqref="I33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/>
      <c r="K6" s="37"/>
      <c r="L6" s="37"/>
      <c r="M6" s="37"/>
      <c r="N6" s="37"/>
      <c r="O6" s="36"/>
      <c r="P6" s="57">
        <f>SUM(C6:N6)</f>
        <v>133</v>
      </c>
    </row>
    <row r="7" spans="2:16" x14ac:dyDescent="0.3">
      <c r="B7" s="9" t="s">
        <v>21</v>
      </c>
      <c r="C7" s="37">
        <v>22</v>
      </c>
      <c r="D7" s="37">
        <v>20</v>
      </c>
      <c r="E7" s="37">
        <v>9</v>
      </c>
      <c r="F7" s="37">
        <v>17</v>
      </c>
      <c r="G7" s="37">
        <v>18</v>
      </c>
      <c r="H7" s="37">
        <v>18</v>
      </c>
      <c r="I7" s="37">
        <v>22</v>
      </c>
      <c r="J7" s="37"/>
      <c r="K7" s="37"/>
      <c r="L7" s="37"/>
      <c r="M7" s="37"/>
      <c r="N7" s="37"/>
      <c r="O7" s="36"/>
      <c r="P7" s="57">
        <f>SUM(C7:N7)</f>
        <v>126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1</v>
      </c>
      <c r="E8" s="63">
        <f t="shared" si="0"/>
        <v>-10</v>
      </c>
      <c r="F8" s="63">
        <f t="shared" si="0"/>
        <v>-2</v>
      </c>
      <c r="G8" s="63">
        <f t="shared" si="0"/>
        <v>-1</v>
      </c>
      <c r="H8" s="63">
        <f t="shared" si="0"/>
        <v>-1</v>
      </c>
      <c r="I8" s="63">
        <f t="shared" si="0"/>
        <v>3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-7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20</v>
      </c>
      <c r="E11" s="11">
        <v>9</v>
      </c>
      <c r="F11" s="11">
        <v>17</v>
      </c>
      <c r="G11" s="11">
        <v>18</v>
      </c>
      <c r="H11" s="11">
        <v>18</v>
      </c>
      <c r="I11" s="11">
        <v>22</v>
      </c>
      <c r="J11" s="11"/>
      <c r="K11" s="11"/>
      <c r="L11" s="11"/>
      <c r="M11" s="11"/>
      <c r="N11" s="11"/>
      <c r="P11" s="58">
        <f>SUM(C11:N11)</f>
        <v>126</v>
      </c>
    </row>
    <row r="12" spans="2:16" x14ac:dyDescent="0.3">
      <c r="B12" s="9" t="s">
        <v>16</v>
      </c>
      <c r="C12" s="12"/>
      <c r="D12" s="12"/>
      <c r="E12" s="12">
        <v>12</v>
      </c>
      <c r="F12" s="12">
        <v>4</v>
      </c>
      <c r="G12" s="12">
        <v>1</v>
      </c>
      <c r="H12" s="12">
        <v>2</v>
      </c>
      <c r="I12" s="12"/>
      <c r="J12" s="12"/>
      <c r="K12" s="12"/>
      <c r="L12" s="12"/>
      <c r="M12" s="12"/>
      <c r="N12" s="12"/>
      <c r="P12" s="58">
        <f>SUM(C12:N12)</f>
        <v>19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5997</v>
      </c>
      <c r="D17" s="10">
        <f>D11*Params!$C$5*(1-Params!$C$3)-Params!$C$4</f>
        <v>5445</v>
      </c>
      <c r="E17" s="10">
        <f>E11*Params!$C$5*(1-Params!$C$3)-Params!$C$4</f>
        <v>2409</v>
      </c>
      <c r="F17" s="10">
        <f>F11*Params!$C$5*(1-Params!$C$3)-Params!$C$4</f>
        <v>4617</v>
      </c>
      <c r="G17" s="10">
        <f>G11*Params!$C$5*(1-Params!$C$3)-Params!$C$4</f>
        <v>4893</v>
      </c>
      <c r="H17" s="10">
        <f>H11*Params!$C$5*(1-Params!$C$3)-Params!$C$4</f>
        <v>4893</v>
      </c>
      <c r="I17" s="10">
        <f>I11*Params!$C$5*(1-Params!$C$3)-Params!$C$4</f>
        <v>5997</v>
      </c>
      <c r="J17" s="10"/>
      <c r="K17" s="10"/>
      <c r="L17" s="10"/>
      <c r="M17" s="10"/>
      <c r="N17" s="10"/>
      <c r="O17" s="4"/>
      <c r="P17" s="41">
        <f>SUM(C17:N17)</f>
        <v>34251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5997</v>
      </c>
      <c r="D19" s="28">
        <f t="shared" si="1"/>
        <v>5445</v>
      </c>
      <c r="E19" s="28">
        <f t="shared" si="1"/>
        <v>2409</v>
      </c>
      <c r="F19" s="28">
        <f t="shared" si="1"/>
        <v>4617</v>
      </c>
      <c r="G19" s="28">
        <f t="shared" si="1"/>
        <v>4893</v>
      </c>
      <c r="H19" s="28">
        <f t="shared" si="1"/>
        <v>4893</v>
      </c>
      <c r="I19" s="28">
        <f t="shared" si="1"/>
        <v>5997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34251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2910.77</v>
      </c>
      <c r="D22" s="10">
        <v>2910.77</v>
      </c>
      <c r="E22" s="10">
        <v>2910.77</v>
      </c>
      <c r="F22" s="10">
        <v>2910.77</v>
      </c>
      <c r="G22" s="10">
        <v>2910.77</v>
      </c>
      <c r="H22" s="10">
        <v>2910.77</v>
      </c>
      <c r="I22" s="10">
        <v>2910.77</v>
      </c>
      <c r="J22" s="10"/>
      <c r="K22" s="10"/>
      <c r="L22" s="10"/>
      <c r="M22" s="10"/>
      <c r="N22" s="10"/>
      <c r="O22" s="4"/>
      <c r="P22" s="43">
        <f>SUM(C22:N22)</f>
        <v>20375.39</v>
      </c>
    </row>
    <row r="23" spans="2:16" x14ac:dyDescent="0.3">
      <c r="B23" s="9" t="s">
        <v>8</v>
      </c>
      <c r="C23" s="10">
        <f>691.14+1001.35</f>
        <v>1692.49</v>
      </c>
      <c r="D23" s="10">
        <f>691.14+1001.35</f>
        <v>1692.49</v>
      </c>
      <c r="E23" s="10">
        <f>691.14+1001.34</f>
        <v>1692.48</v>
      </c>
      <c r="F23" s="10">
        <f>691.14+1014.64</f>
        <v>1705.78</v>
      </c>
      <c r="G23" s="10">
        <f>691.14+1005.77</f>
        <v>1696.9099999999999</v>
      </c>
      <c r="H23" s="10">
        <f>691.14+1002.46</f>
        <v>1693.6</v>
      </c>
      <c r="I23" s="10">
        <f>691.14+1003.56</f>
        <v>1694.6999999999998</v>
      </c>
      <c r="J23" s="10"/>
      <c r="K23" s="10"/>
      <c r="L23" s="10"/>
      <c r="M23" s="10"/>
      <c r="N23" s="10"/>
      <c r="O23" s="4"/>
      <c r="P23" s="43">
        <f>SUM(C23:N23)</f>
        <v>11868.45</v>
      </c>
    </row>
    <row r="24" spans="2:16" x14ac:dyDescent="0.3">
      <c r="B24" s="55" t="s">
        <v>40</v>
      </c>
      <c r="C24" s="10">
        <v>335.62</v>
      </c>
      <c r="D24" s="10">
        <v>314.2</v>
      </c>
      <c r="E24" s="10">
        <v>196.39</v>
      </c>
      <c r="F24" s="10">
        <v>282.07</v>
      </c>
      <c r="G24" s="10">
        <v>292.77999999999997</v>
      </c>
      <c r="H24" s="10">
        <v>292.77999999999997</v>
      </c>
      <c r="I24" s="10">
        <v>335.62</v>
      </c>
      <c r="J24" s="10"/>
      <c r="K24" s="10"/>
      <c r="L24" s="10"/>
      <c r="M24" s="10"/>
      <c r="N24" s="10"/>
      <c r="O24" s="4"/>
      <c r="P24" s="43">
        <f>SUM(C24:N24)</f>
        <v>2049.46</v>
      </c>
    </row>
    <row r="25" spans="2:16" x14ac:dyDescent="0.3">
      <c r="B25" s="55" t="s">
        <v>45</v>
      </c>
      <c r="C25" s="69"/>
      <c r="D25" s="69"/>
      <c r="E25" s="69"/>
      <c r="F25" s="69"/>
      <c r="G25" s="69"/>
      <c r="H25" s="69"/>
      <c r="I25" s="69"/>
      <c r="J25" s="69">
        <v>489.54</v>
      </c>
      <c r="K25" s="69"/>
      <c r="L25" s="69"/>
      <c r="M25" s="69"/>
      <c r="N25" s="69"/>
      <c r="O25" s="4"/>
      <c r="P25" s="43"/>
    </row>
    <row r="26" spans="2:16" x14ac:dyDescent="0.3">
      <c r="B26" s="8" t="s">
        <v>3</v>
      </c>
      <c r="C26" s="44">
        <f t="shared" ref="C26:N26" si="2">SUM(C22:C24)</f>
        <v>4938.88</v>
      </c>
      <c r="D26" s="44">
        <f t="shared" si="2"/>
        <v>4917.46</v>
      </c>
      <c r="E26" s="44">
        <f t="shared" si="2"/>
        <v>4799.6400000000003</v>
      </c>
      <c r="F26" s="44">
        <f t="shared" si="2"/>
        <v>4898.62</v>
      </c>
      <c r="G26" s="44">
        <f t="shared" si="2"/>
        <v>4900.46</v>
      </c>
      <c r="H26" s="44">
        <f t="shared" si="2"/>
        <v>4897.1499999999996</v>
      </c>
      <c r="I26" s="44">
        <f>SUM(I22:I25)</f>
        <v>4941.0899999999992</v>
      </c>
      <c r="J26" s="44">
        <f>SUM(J22:J25)</f>
        <v>489.54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34782.839999999997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1058.1199999999999</v>
      </c>
      <c r="D28" s="47">
        <f t="shared" si="3"/>
        <v>527.54</v>
      </c>
      <c r="E28" s="47">
        <f t="shared" si="3"/>
        <v>-2390.6400000000003</v>
      </c>
      <c r="F28" s="47">
        <f t="shared" si="3"/>
        <v>-281.61999999999989</v>
      </c>
      <c r="G28" s="47">
        <f t="shared" si="3"/>
        <v>-7.4600000000000364</v>
      </c>
      <c r="H28" s="47">
        <f t="shared" si="3"/>
        <v>-4.1499999999996362</v>
      </c>
      <c r="I28" s="47">
        <f t="shared" si="3"/>
        <v>1055.9100000000008</v>
      </c>
      <c r="J28" s="47">
        <f t="shared" si="3"/>
        <v>-489.54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SUM(C28:O28)</f>
        <v>-531.83999999999924</v>
      </c>
    </row>
    <row r="30" spans="2:16" x14ac:dyDescent="0.3">
      <c r="B30" s="62" t="s">
        <v>37</v>
      </c>
      <c r="C30" s="54">
        <v>660</v>
      </c>
      <c r="D30" s="54">
        <v>600</v>
      </c>
      <c r="E30" s="54">
        <v>270</v>
      </c>
      <c r="F30" s="54">
        <v>510</v>
      </c>
      <c r="G30" s="54">
        <v>540</v>
      </c>
      <c r="H30" s="54">
        <v>540</v>
      </c>
      <c r="I30" s="54">
        <v>660</v>
      </c>
      <c r="J30" s="54"/>
      <c r="K30" s="54"/>
      <c r="L30" s="54"/>
      <c r="M30" s="54"/>
      <c r="N30" s="54"/>
      <c r="P30" s="61">
        <f>SUM(C30:N30)</f>
        <v>3780</v>
      </c>
    </row>
    <row r="31" spans="2:16" x14ac:dyDescent="0.3">
      <c r="B31" s="62" t="s">
        <v>38</v>
      </c>
      <c r="C31" s="54">
        <v>335.62</v>
      </c>
      <c r="D31" s="54">
        <v>314.2</v>
      </c>
      <c r="E31" s="54">
        <v>196.39</v>
      </c>
      <c r="F31" s="54">
        <v>282.07</v>
      </c>
      <c r="G31" s="54">
        <v>292.77999999999997</v>
      </c>
      <c r="H31" s="54">
        <v>292.77999999999997</v>
      </c>
      <c r="I31" s="54">
        <v>335.62</v>
      </c>
      <c r="J31" s="54"/>
      <c r="K31" s="54"/>
      <c r="L31" s="54"/>
      <c r="M31" s="54"/>
      <c r="N31" s="54"/>
      <c r="P31" s="61">
        <f>SUM(C31:N31)</f>
        <v>2049.46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6" t="s">
        <v>23</v>
      </c>
      <c r="C2" s="67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300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tabSelected="1"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8" t="s">
        <v>33</v>
      </c>
      <c r="C2" s="68"/>
    </row>
    <row r="3" spans="2:3" ht="16.95" customHeight="1" x14ac:dyDescent="0.3">
      <c r="B3" s="38" t="s">
        <v>34</v>
      </c>
      <c r="C3" s="39">
        <f>'2024'!P27+'2025'!P28</f>
        <v>4131.2999999999984</v>
      </c>
    </row>
    <row r="4" spans="2:3" ht="16.95" customHeight="1" x14ac:dyDescent="0.3">
      <c r="B4" s="38" t="s">
        <v>39</v>
      </c>
      <c r="C4" s="40">
        <f>'2024'!P12+'2025'!P12</f>
        <v>26.240000000000002</v>
      </c>
    </row>
    <row r="5" spans="2:3" x14ac:dyDescent="0.3">
      <c r="B5" s="38" t="s">
        <v>44</v>
      </c>
      <c r="C5" s="40">
        <f>(16*2.08)-C4</f>
        <v>7.0399999999999991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2024</vt:lpstr>
      <vt:lpstr>2025</vt:lpstr>
      <vt:lpstr>Params</vt:lpstr>
      <vt:lpstr>Synthése</vt:lpstr>
      <vt:lpstr>'2024'!AOUT</vt:lpstr>
      <vt:lpstr>'2025'!AOUT</vt:lpstr>
      <vt:lpstr>'2024'!AVRIL</vt:lpstr>
      <vt:lpstr>'2025'!AVRIL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'2024'!FEVRIER</vt:lpstr>
      <vt:lpstr>'2025'!FEVRIER</vt:lpstr>
      <vt:lpstr>'2024'!FRAIS_KM</vt:lpstr>
      <vt:lpstr>'2025'!FRAIS_KM</vt:lpstr>
      <vt:lpstr>'2024'!JANVIER</vt:lpstr>
      <vt:lpstr>'2025'!JANVIER</vt:lpstr>
      <vt:lpstr>'2024'!JUILLET</vt:lpstr>
      <vt:lpstr>'2025'!JUILLET</vt:lpstr>
      <vt:lpstr>'2024'!JUIN</vt:lpstr>
      <vt:lpstr>'2025'!JUIN</vt:lpstr>
      <vt:lpstr>'2024'!MAI</vt:lpstr>
      <vt:lpstr>'2025'!MAI</vt:lpstr>
      <vt:lpstr>'2024'!MARS</vt:lpstr>
      <vt:lpstr>'2025'!MARS</vt:lpstr>
      <vt:lpstr>'2024'!MOIS</vt:lpstr>
      <vt:lpstr>'2025'!MOIS</vt:lpstr>
      <vt:lpstr>'2024'!NOMBRE_KM</vt:lpstr>
      <vt:lpstr>'2025'!NOMBRE_KM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'2024'!SORTIES_FRAIS_KM</vt:lpstr>
      <vt:lpstr>'2025'!SORTIES_FRAIS_KM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2025-08-07T23:05:00Z</dcterms:modified>
</cp:coreProperties>
</file>