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9B228799-1362-4E03-A42F-6479D1BB209A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'2024'!$B$32</definedName>
    <definedName name="FRAIS_KM" localSheetId="1">'2025'!$B$32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'2024'!$B$31</definedName>
    <definedName name="NOMBRE_KM" localSheetId="1">'2025'!$B$31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'2024'!$B$29</definedName>
    <definedName name="SOLDE" localSheetId="1">'2025'!$B$29</definedName>
    <definedName name="SORTIES" localSheetId="0">'2024'!$B$22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'2024'!$B$24</definedName>
    <definedName name="SORTIES_CHARGES_SOCIALES_PATRONALES" localSheetId="1">'2025'!$B$24</definedName>
    <definedName name="SORTIES_CHARGES_SOCIALES_PATRONALES">#REF!</definedName>
    <definedName name="SORTIES_FRAIS_KM" localSheetId="0">'2024'!$B$25</definedName>
    <definedName name="SORTIES_FRAIS_KM" localSheetId="1">'2025'!$B$25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'2024'!$B$23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'2024'!$B$20</definedName>
    <definedName name="TOTAL_ENTREES" localSheetId="1">'2025'!$B$20</definedName>
    <definedName name="TOTAL_ENTREES">#REF!</definedName>
    <definedName name="TOTAL_SORTIES" localSheetId="0">'2024'!$B$27</definedName>
    <definedName name="TOTAL_SORTIES" localSheetId="1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29" i="15" l="1"/>
  <c r="C5" i="13"/>
  <c r="H24" i="15"/>
  <c r="H17" i="15"/>
  <c r="G24" i="15" l="1"/>
  <c r="G17" i="15"/>
  <c r="F24" i="15" l="1"/>
  <c r="F17" i="15"/>
  <c r="F27" i="15" l="1"/>
  <c r="G27" i="15"/>
  <c r="H27" i="15"/>
  <c r="I27" i="15"/>
  <c r="J27" i="15"/>
  <c r="K27" i="15"/>
  <c r="K29" i="15" s="1"/>
  <c r="L27" i="15"/>
  <c r="M27" i="15"/>
  <c r="N27" i="15"/>
  <c r="F20" i="15"/>
  <c r="G20" i="15"/>
  <c r="G29" i="15" s="1"/>
  <c r="H20" i="15"/>
  <c r="I20" i="15"/>
  <c r="J20" i="15"/>
  <c r="K20" i="15"/>
  <c r="L20" i="15"/>
  <c r="M20" i="15"/>
  <c r="N20" i="15"/>
  <c r="P32" i="15"/>
  <c r="P31" i="15"/>
  <c r="P34" i="15" s="1"/>
  <c r="P25" i="15"/>
  <c r="E24" i="15"/>
  <c r="E27" i="15" s="1"/>
  <c r="D24" i="15"/>
  <c r="D27" i="15" s="1"/>
  <c r="C24" i="15"/>
  <c r="C27" i="15" s="1"/>
  <c r="P23" i="15"/>
  <c r="P18" i="15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1" i="14"/>
  <c r="P34" i="14" s="1"/>
  <c r="P35" i="14" s="1"/>
  <c r="K27" i="14"/>
  <c r="G27" i="14"/>
  <c r="F27" i="14"/>
  <c r="E27" i="14"/>
  <c r="D27" i="14"/>
  <c r="C27" i="14"/>
  <c r="P26" i="14"/>
  <c r="P25" i="14"/>
  <c r="N24" i="14"/>
  <c r="N27" i="14" s="1"/>
  <c r="M24" i="14"/>
  <c r="M27" i="14" s="1"/>
  <c r="L24" i="14"/>
  <c r="L27" i="14" s="1"/>
  <c r="K24" i="14"/>
  <c r="J24" i="14"/>
  <c r="J27" i="14" s="1"/>
  <c r="I24" i="14"/>
  <c r="I27" i="14" s="1"/>
  <c r="H24" i="14"/>
  <c r="H27" i="14" s="1"/>
  <c r="G24" i="14"/>
  <c r="P23" i="14"/>
  <c r="K20" i="14"/>
  <c r="J20" i="14"/>
  <c r="J29" i="14" s="1"/>
  <c r="F20" i="14"/>
  <c r="E20" i="14"/>
  <c r="D20" i="14"/>
  <c r="C20" i="14"/>
  <c r="C29" i="14" s="1"/>
  <c r="P19" i="14"/>
  <c r="P18" i="14"/>
  <c r="N17" i="14"/>
  <c r="N20" i="14" s="1"/>
  <c r="M17" i="14"/>
  <c r="M20" i="14" s="1"/>
  <c r="L17" i="14"/>
  <c r="L20" i="14" s="1"/>
  <c r="K17" i="14"/>
  <c r="J17" i="14"/>
  <c r="I17" i="14"/>
  <c r="I20" i="14" s="1"/>
  <c r="I29" i="14" s="1"/>
  <c r="H17" i="14"/>
  <c r="H20" i="14" s="1"/>
  <c r="H29" i="14" s="1"/>
  <c r="G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I29" i="15" l="1"/>
  <c r="K29" i="14"/>
  <c r="F29" i="14"/>
  <c r="D29" i="14"/>
  <c r="N29" i="15"/>
  <c r="E29" i="14"/>
  <c r="N29" i="14"/>
  <c r="C4" i="13"/>
  <c r="L29" i="14"/>
  <c r="F29" i="15"/>
  <c r="M29" i="15"/>
  <c r="M29" i="14"/>
  <c r="G20" i="14"/>
  <c r="G29" i="14" s="1"/>
  <c r="P29" i="14" s="1"/>
  <c r="P24" i="14"/>
  <c r="P35" i="15"/>
  <c r="P8" i="15"/>
  <c r="L29" i="15"/>
  <c r="J29" i="15"/>
  <c r="E29" i="15"/>
  <c r="P27" i="15"/>
  <c r="C29" i="15"/>
  <c r="D29" i="15"/>
  <c r="P20" i="15"/>
  <c r="P27" i="14"/>
  <c r="P17" i="15"/>
  <c r="P24" i="15"/>
  <c r="P20" i="14" l="1"/>
  <c r="P29" i="15"/>
  <c r="C3" i="13" s="1"/>
</calcChain>
</file>

<file path=xl/sharedStrings.xml><?xml version="1.0" encoding="utf-8"?>
<sst xmlns="http://schemas.openxmlformats.org/spreadsheetml/2006/main" count="88" uniqueCount="48">
  <si>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</si>
  <si>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</si>
  <si>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</si>
  <si>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</si>
  <si>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</si>
  <si>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</si>
  <si>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</si>
  <si>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</si>
  <si>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</si>
  <si>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</si>
  <si>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</si>
  <si>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</si>
  <si>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</si>
  <si>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</si>
  <si>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</si>
  <si>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</si>
  <si>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</si>
  <si>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</si>
  <si>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</si>
  <si>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</si>
  <si>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</si>
  <si>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</si>
  <si>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</si>
  <si>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</si>
  <si>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</si>
  <si>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</si>
  <si>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</si>
  <si>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</si>
  <si>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</si>
  <si>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</si>
  <si>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</si>
  <si>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</si>
  <si>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</si>
  <si>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</si>
  <si>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</si>
  <si>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</si>
  <si>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</si>
  <si>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</si>
  <si>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</si>
  <si>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</si>
  <si>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</si>
  <si>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2024)</t>
  </si>
  <si>
    <t>Frais KM annuel à payer</t>
  </si>
  <si>
    <t>Régularisation Frais KM</t>
  </si>
  <si>
    <t>Solde Congé</t>
  </si>
  <si>
    <t>Frais Refacturés</t>
  </si>
  <si>
    <t>Frais Refacturer</t>
  </si>
  <si>
    <t>Frais refacturer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</si>
</sst>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topLeftCell="B1" workbookViewId="0">
      <selection activeCell="G3" sqref="G3:N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14</v>
      </c>
      <c r="K6" s="37">
        <v>15</v>
      </c>
      <c r="L6" s="37">
        <v>19</v>
      </c>
      <c r="M6" s="37">
        <v>19</v>
      </c>
      <c r="N6" s="37">
        <v>19</v>
      </c>
      <c r="O6" s="36"/>
      <c r="P6" s="57">
        <f>SUM(C6:N6)</f>
        <v>143</v>
      </c>
    </row>
    <row r="7" spans="2:16" x14ac:dyDescent="0.3">
      <c r="B7" s="9" t="s">
        <v>21</v>
      </c>
      <c r="C7" s="37"/>
      <c r="D7" s="37"/>
      <c r="E7" s="37"/>
      <c r="F7" s="37"/>
      <c r="G7" s="37">
        <v>18</v>
      </c>
      <c r="H7" s="37">
        <v>20</v>
      </c>
      <c r="I7" s="37">
        <v>23</v>
      </c>
      <c r="J7" s="37">
        <v>10</v>
      </c>
      <c r="K7" s="37">
        <v>15</v>
      </c>
      <c r="L7" s="37">
        <v>23</v>
      </c>
      <c r="M7" s="37">
        <v>19</v>
      </c>
      <c r="N7" s="37">
        <v>15</v>
      </c>
      <c r="O7" s="36"/>
      <c r="P7" s="57">
        <f>SUM(C7:N7)</f>
        <v>143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-4</v>
      </c>
      <c r="K8" s="63">
        <f t="shared" si="0"/>
        <v>0</v>
      </c>
      <c r="L8" s="63">
        <f t="shared" si="0"/>
        <v>4</v>
      </c>
      <c r="M8" s="63">
        <f t="shared" si="0"/>
        <v>0</v>
      </c>
      <c r="N8" s="63">
        <f t="shared" si="0"/>
        <v>-4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18</v>
      </c>
      <c r="H11" s="11">
        <v>20</v>
      </c>
      <c r="I11" s="11">
        <v>23</v>
      </c>
      <c r="J11" s="11">
        <v>10</v>
      </c>
      <c r="K11" s="11">
        <v>15</v>
      </c>
      <c r="L11" s="11">
        <v>23</v>
      </c>
      <c r="M11" s="11">
        <v>19</v>
      </c>
      <c r="N11" s="11">
        <v>15</v>
      </c>
      <c r="P11" s="58">
        <f>SUM(C11:N11)</f>
        <v>143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>
        <v>11</v>
      </c>
      <c r="K12" s="12">
        <v>0</v>
      </c>
      <c r="L12" s="12"/>
      <c r="M12" s="12"/>
      <c r="N12" s="12">
        <v>6</v>
      </c>
      <c r="P12" s="58">
        <f>SUM(C12:N12)</f>
        <v>18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6</v>
      </c>
      <c r="L13" s="12"/>
      <c r="M13" s="12"/>
      <c r="N13" s="12"/>
      <c r="P13" s="58">
        <f>SUM(C13:N13)</f>
        <v>6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G11*Params!$C$5*(1-Params!$C$3)-Params!$C$4</f>
        <v>5224.2</v>
      </c>
      <c r="H17" s="10">
        <f>H11*Params!$C$5*(1-Params!$C$3)-Params!$C$4</f>
        <v>5813</v>
      </c>
      <c r="I17" s="10">
        <f>I11*Params!$C$5*(1-Params!$C$3)-Params!$C$4</f>
        <v>6696.2000000000007</v>
      </c>
      <c r="J17" s="10">
        <f>J11*Params!$C$5*(1-Params!$C$3)-Params!$C$4</f>
        <v>2869</v>
      </c>
      <c r="K17" s="10">
        <f>K11*Params!$C$5*(1-Params!$C$3)-Params!$C$4</f>
        <v>4341</v>
      </c>
      <c r="L17" s="10">
        <f>L11*Params!$C$5*(1-Params!$C$3)-Params!$C$4</f>
        <v>6696.2000000000007</v>
      </c>
      <c r="M17" s="10">
        <f>M11*Params!$C$5*(1-Params!$C$3)-Params!$C$4</f>
        <v>5518.6</v>
      </c>
      <c r="N17" s="10">
        <f>N11*Params!$C$5*(1-Params!$C$3)-Params!$C$4</f>
        <v>4341</v>
      </c>
      <c r="O17" s="4"/>
      <c r="P17" s="41">
        <f>SUM(C17:N17)</f>
        <v>41499.200000000004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>
        <v>27.73</v>
      </c>
      <c r="O19" s="4"/>
      <c r="P19" s="41">
        <f>SUM(C19:N19)</f>
        <v>27.73</v>
      </c>
    </row>
    <row r="20" spans="2:16" x14ac:dyDescent="0.3">
      <c r="B20" s="27" t="s">
        <v>2</v>
      </c>
      <c r="C20" s="28">
        <f t="shared" ref="C20:M20" si="1">SUM(C17:C18)</f>
        <v>0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5224.2</v>
      </c>
      <c r="H20" s="28">
        <f t="shared" si="1"/>
        <v>5813</v>
      </c>
      <c r="I20" s="28">
        <f t="shared" si="1"/>
        <v>6696.2000000000007</v>
      </c>
      <c r="J20" s="28">
        <f t="shared" si="1"/>
        <v>2869</v>
      </c>
      <c r="K20" s="28">
        <f t="shared" si="1"/>
        <v>4341</v>
      </c>
      <c r="L20" s="28">
        <f t="shared" si="1"/>
        <v>6696.2000000000007</v>
      </c>
      <c r="M20" s="28">
        <f t="shared" si="1"/>
        <v>5518.6</v>
      </c>
      <c r="N20" s="28">
        <f>SUM(N17:N19)</f>
        <v>4368.7299999999996</v>
      </c>
      <c r="O20" s="5"/>
      <c r="P20" s="42">
        <f>SUM(C20:O20)</f>
        <v>41526.930000000008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/>
      <c r="D23" s="10"/>
      <c r="E23" s="10"/>
      <c r="F23" s="10"/>
      <c r="G23" s="10">
        <v>3230.02</v>
      </c>
      <c r="H23" s="10">
        <v>3230.02</v>
      </c>
      <c r="I23" s="10">
        <v>3230.02</v>
      </c>
      <c r="J23" s="10">
        <v>3176.2</v>
      </c>
      <c r="K23" s="10">
        <v>2334.89</v>
      </c>
      <c r="L23" s="10">
        <v>3230.02</v>
      </c>
      <c r="M23" s="10">
        <v>3230.02</v>
      </c>
      <c r="N23" s="10">
        <v>3230.02</v>
      </c>
      <c r="O23" s="4"/>
      <c r="P23" s="43">
        <f>SUM(C23:N23)</f>
        <v>24891.21</v>
      </c>
    </row>
    <row r="24" spans="2:16" x14ac:dyDescent="0.3">
      <c r="B24" s="9" t="s">
        <v>8</v>
      </c>
      <c r="C24" s="10"/>
      <c r="D24" s="10"/>
      <c r="E24" s="10"/>
      <c r="F24" s="10"/>
      <c r="G24" s="10">
        <f>744.96+1198.91</f>
        <v>1943.8700000000001</v>
      </c>
      <c r="H24" s="10">
        <f>744.96+1200.29</f>
        <v>1945.25</v>
      </c>
      <c r="I24" s="10">
        <f>744.96+1200.57</f>
        <v>1945.53</v>
      </c>
      <c r="J24" s="10">
        <f>738.18+1182.57</f>
        <v>1920.75</v>
      </c>
      <c r="K24" s="10">
        <f>555.13+901.42</f>
        <v>1456.55</v>
      </c>
      <c r="L24" s="10">
        <f>744.96+1200.57</f>
        <v>1945.53</v>
      </c>
      <c r="M24" s="10">
        <f>744.96+1200.57</f>
        <v>1945.53</v>
      </c>
      <c r="N24" s="10">
        <f>744.96+1200.57</f>
        <v>1945.53</v>
      </c>
      <c r="O24" s="4"/>
      <c r="P24" s="43">
        <f>SUM(C24:N24)</f>
        <v>15048.54</v>
      </c>
    </row>
    <row r="25" spans="2:16" x14ac:dyDescent="0.3">
      <c r="B25" s="55" t="s">
        <v>40</v>
      </c>
      <c r="C25" s="10"/>
      <c r="D25" s="10"/>
      <c r="E25" s="10"/>
      <c r="F25" s="10"/>
      <c r="G25" s="10">
        <v>239.4</v>
      </c>
      <c r="H25" s="10">
        <v>266</v>
      </c>
      <c r="I25" s="10">
        <v>305.89999999999998</v>
      </c>
      <c r="J25" s="10">
        <v>133</v>
      </c>
      <c r="K25" s="10">
        <v>199.5</v>
      </c>
      <c r="L25" s="10">
        <v>305.89999999999998</v>
      </c>
      <c r="M25" s="10">
        <v>252.7</v>
      </c>
      <c r="N25" s="10">
        <v>199.5</v>
      </c>
      <c r="O25" s="4"/>
      <c r="P25" s="43">
        <f>SUM(C25:N25)</f>
        <v>1901.8999999999999</v>
      </c>
    </row>
    <row r="26" spans="2:16" x14ac:dyDescent="0.3">
      <c r="B26" s="55" t="s">
        <v>45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>
        <v>27.73</v>
      </c>
      <c r="O26" s="4"/>
      <c r="P26" s="43">
        <f>SUM(C26:N26)</f>
        <v>27.73</v>
      </c>
    </row>
    <row r="27" spans="2:16" x14ac:dyDescent="0.3">
      <c r="B27" s="8" t="s">
        <v>3</v>
      </c>
      <c r="C27" s="44">
        <f t="shared" ref="C27:M27" si="2">SUM(C23:C25)</f>
        <v>0</v>
      </c>
      <c r="D27" s="44">
        <f t="shared" si="2"/>
        <v>0</v>
      </c>
      <c r="E27" s="44">
        <f t="shared" si="2"/>
        <v>0</v>
      </c>
      <c r="F27" s="44">
        <f t="shared" si="2"/>
        <v>0</v>
      </c>
      <c r="G27" s="44">
        <f t="shared" si="2"/>
        <v>5413.29</v>
      </c>
      <c r="H27" s="44">
        <f t="shared" si="2"/>
        <v>5441.27</v>
      </c>
      <c r="I27" s="44">
        <f t="shared" si="2"/>
        <v>5481.45</v>
      </c>
      <c r="J27" s="44">
        <f t="shared" si="2"/>
        <v>5229.95</v>
      </c>
      <c r="K27" s="44">
        <f t="shared" si="2"/>
        <v>3990.9399999999996</v>
      </c>
      <c r="L27" s="44">
        <f t="shared" si="2"/>
        <v>5481.45</v>
      </c>
      <c r="M27" s="44">
        <f t="shared" si="2"/>
        <v>5428.25</v>
      </c>
      <c r="N27" s="44">
        <f>SUM(N23:N26)</f>
        <v>5402.78</v>
      </c>
      <c r="O27" s="4"/>
      <c r="P27" s="60">
        <f>SUM(C27:N27)</f>
        <v>41869.380000000005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-189.09000000000015</v>
      </c>
      <c r="H29" s="47">
        <f t="shared" si="3"/>
        <v>371.72999999999956</v>
      </c>
      <c r="I29" s="47">
        <f t="shared" si="3"/>
        <v>1214.7500000000009</v>
      </c>
      <c r="J29" s="47">
        <f t="shared" si="3"/>
        <v>-2360.9499999999998</v>
      </c>
      <c r="K29" s="47">
        <f t="shared" si="3"/>
        <v>350.0600000000004</v>
      </c>
      <c r="L29" s="47">
        <f t="shared" si="3"/>
        <v>1214.7500000000009</v>
      </c>
      <c r="M29" s="47">
        <f t="shared" si="3"/>
        <v>90.350000000000364</v>
      </c>
      <c r="N29" s="47">
        <f t="shared" si="3"/>
        <v>-1034.0500000000002</v>
      </c>
      <c r="P29" s="59">
        <f>SUM(C29:O29)</f>
        <v>-342.449999999998</v>
      </c>
    </row>
    <row r="31" spans="2:16" x14ac:dyDescent="0.3">
      <c r="B31" s="62" t="s">
        <v>37</v>
      </c>
      <c r="C31" s="54"/>
      <c r="D31" s="54"/>
      <c r="E31" s="54"/>
      <c r="F31" s="54"/>
      <c r="G31" s="54">
        <v>360</v>
      </c>
      <c r="H31" s="54">
        <v>400</v>
      </c>
      <c r="I31" s="54">
        <v>460</v>
      </c>
      <c r="J31" s="54">
        <v>200</v>
      </c>
      <c r="K31" s="54">
        <v>300</v>
      </c>
      <c r="L31" s="54">
        <v>460</v>
      </c>
      <c r="M31" s="54">
        <v>380</v>
      </c>
      <c r="N31" s="54">
        <v>300</v>
      </c>
      <c r="P31" s="61">
        <f>SUM(C31:N31)</f>
        <v>2860</v>
      </c>
    </row>
    <row r="32" spans="2:16" x14ac:dyDescent="0.3">
      <c r="B32" s="62" t="s">
        <v>38</v>
      </c>
      <c r="C32" s="54"/>
      <c r="D32" s="54"/>
      <c r="E32" s="54"/>
      <c r="F32" s="54"/>
      <c r="G32" s="54">
        <v>239.4</v>
      </c>
      <c r="H32" s="54">
        <v>266</v>
      </c>
      <c r="I32" s="54">
        <v>305.89999999999998</v>
      </c>
      <c r="J32" s="54">
        <v>133</v>
      </c>
      <c r="K32" s="54">
        <v>199.5</v>
      </c>
      <c r="L32" s="54">
        <v>305.89999999999998</v>
      </c>
      <c r="M32" s="54">
        <v>252.7</v>
      </c>
      <c r="N32" s="54">
        <v>199.5</v>
      </c>
      <c r="P32" s="61">
        <f>SUM(C32:N32)</f>
        <v>1901.8999999999999</v>
      </c>
    </row>
    <row r="34" spans="14:16" x14ac:dyDescent="0.3">
      <c r="N34" s="54" t="s">
        <v>42</v>
      </c>
      <c r="P34" s="61">
        <f>P31*0.665</f>
        <v>1901.9</v>
      </c>
    </row>
    <row r="35" spans="14:16" x14ac:dyDescent="0.3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abSelected="1" topLeftCell="B1" workbookViewId="0">
      <selection activeCell="G29" sqref="G29:H29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7">
        <f>SUM(C6:N6)</f>
        <v>114</v>
      </c>
    </row>
    <row r="7" spans="2:16" x14ac:dyDescent="0.3">
      <c r="B7" s="9" t="s">
        <v>21</v>
      </c>
      <c r="C7" s="37">
        <v>20</v>
      </c>
      <c r="D7" s="37">
        <v>20</v>
      </c>
      <c r="E7" s="37">
        <v>18</v>
      </c>
      <c r="F7" s="37">
        <v>21</v>
      </c>
      <c r="G7" s="37">
        <v>17</v>
      </c>
      <c r="H7" s="37">
        <v>18.5</v>
      </c>
      <c r="I7" s="37"/>
      <c r="J7" s="37"/>
      <c r="K7" s="37"/>
      <c r="L7" s="37"/>
      <c r="M7" s="37"/>
      <c r="N7" s="37"/>
      <c r="O7" s="36"/>
      <c r="P7" s="57">
        <f>SUM(C7:N7)</f>
        <v>114.5</v>
      </c>
    </row>
    <row r="8" spans="2:16" x14ac:dyDescent="0.3">
      <c r="B8" s="18" t="s">
        <v>22</v>
      </c>
      <c r="C8" s="63">
        <f t="shared" ref="C8:N8" si="0">C7-C6</f>
        <v>1</v>
      </c>
      <c r="D8" s="63">
        <f t="shared" si="0"/>
        <v>1</v>
      </c>
      <c r="E8" s="63">
        <f t="shared" si="0"/>
        <v>-1</v>
      </c>
      <c r="F8" s="63">
        <f t="shared" si="0"/>
        <v>2</v>
      </c>
      <c r="G8" s="63">
        <f t="shared" si="0"/>
        <v>-2</v>
      </c>
      <c r="H8" s="63">
        <f t="shared" si="0"/>
        <v>-0.5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20</v>
      </c>
      <c r="E11" s="11">
        <v>18</v>
      </c>
      <c r="F11" s="11">
        <v>21</v>
      </c>
      <c r="G11" s="11">
        <v>17</v>
      </c>
      <c r="H11" s="11">
        <v>18.5</v>
      </c>
      <c r="I11" s="11"/>
      <c r="J11" s="11"/>
      <c r="K11" s="11"/>
      <c r="L11" s="11"/>
      <c r="M11" s="11"/>
      <c r="N11" s="11"/>
      <c r="P11" s="58">
        <f>SUM(C11:N11)</f>
        <v>114.5</v>
      </c>
    </row>
    <row r="12" spans="2:16" x14ac:dyDescent="0.3">
      <c r="B12" s="9" t="s">
        <v>16</v>
      </c>
      <c r="C12" s="12">
        <v>1</v>
      </c>
      <c r="D12" s="12"/>
      <c r="E12" s="12">
        <v>3</v>
      </c>
      <c r="F12" s="12"/>
      <c r="G12" s="12">
        <v>2</v>
      </c>
      <c r="H12" s="12">
        <v>1.5</v>
      </c>
      <c r="I12" s="12"/>
      <c r="J12" s="12"/>
      <c r="K12" s="12"/>
      <c r="L12" s="12"/>
      <c r="M12" s="12"/>
      <c r="N12" s="12"/>
      <c r="P12" s="58">
        <f>SUM(C12:N12)</f>
        <v>7.5</v>
      </c>
    </row>
    <row r="13" spans="2:16" x14ac:dyDescent="0.3">
      <c r="B13" s="9" t="s">
        <v>17</v>
      </c>
      <c r="C13" s="12">
        <v>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5813</v>
      </c>
      <c r="D17" s="10">
        <f>D11*Params!$C$5*(1-Params!$C$3)-Params!$C$4</f>
        <v>5813</v>
      </c>
      <c r="E17" s="10">
        <f>E11*Params!$C$5*(1-Params!$C$3)-Params!$C$4</f>
        <v>5224.2</v>
      </c>
      <c r="F17" s="10">
        <f>F11*Params!$C$5*(1-Params!$C$3)-Params!$C$4</f>
        <v>6107.4000000000005</v>
      </c>
      <c r="G17" s="10">
        <f>G11*Params!$C$5*(1-Params!$C$3)-Params!$C$4</f>
        <v>4929.8</v>
      </c>
      <c r="H17" s="10">
        <f>H11*Params!$C$5*(1-Params!$C$3)-Params!$C$4</f>
        <v>5371.4000000000005</v>
      </c>
      <c r="I17" s="10"/>
      <c r="J17" s="10"/>
      <c r="K17" s="10"/>
      <c r="L17" s="10"/>
      <c r="M17" s="10"/>
      <c r="N17" s="10"/>
      <c r="O17" s="4"/>
      <c r="P17" s="41">
        <f>SUM(C17:N17)</f>
        <v>33258.800000000003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47</v>
      </c>
      <c r="C19" s="64"/>
      <c r="D19" s="64"/>
      <c r="E19" s="64">
        <v>28.2</v>
      </c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SUM(C17:C19)</f>
        <v>5813</v>
      </c>
      <c r="D20" s="28">
        <f t="shared" ref="D20:N20" si="1">SUM(D17:D19)</f>
        <v>5813</v>
      </c>
      <c r="E20" s="28">
        <f t="shared" si="1"/>
        <v>5252.4</v>
      </c>
      <c r="F20" s="28">
        <f t="shared" si="1"/>
        <v>6107.4000000000005</v>
      </c>
      <c r="G20" s="28">
        <f t="shared" si="1"/>
        <v>4929.8</v>
      </c>
      <c r="H20" s="28">
        <f t="shared" si="1"/>
        <v>5371.4000000000005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33287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3087.14</v>
      </c>
      <c r="D23" s="10">
        <v>3229.14</v>
      </c>
      <c r="E23" s="10">
        <v>3229.14</v>
      </c>
      <c r="F23" s="10">
        <v>3229.14</v>
      </c>
      <c r="G23" s="10">
        <v>3229.14</v>
      </c>
      <c r="H23" s="10">
        <v>3229.14</v>
      </c>
      <c r="I23" s="10"/>
      <c r="J23" s="10"/>
      <c r="K23" s="10"/>
      <c r="L23" s="10"/>
      <c r="M23" s="10"/>
      <c r="N23" s="10"/>
      <c r="O23" s="4"/>
      <c r="P23" s="43">
        <f>SUM(C23:N23)</f>
        <v>19232.84</v>
      </c>
    </row>
    <row r="24" spans="2:16" x14ac:dyDescent="0.3">
      <c r="B24" s="9" t="s">
        <v>8</v>
      </c>
      <c r="C24" s="10">
        <f>719.66+1164.75</f>
        <v>1884.4099999999999</v>
      </c>
      <c r="D24" s="10">
        <f>750.4+1207.81</f>
        <v>1958.21</v>
      </c>
      <c r="E24" s="10">
        <f>750.4+1206.43</f>
        <v>1956.83</v>
      </c>
      <c r="F24" s="10">
        <f>750.4+1210.58</f>
        <v>1960.98</v>
      </c>
      <c r="G24" s="10">
        <f>750.4+1206.43</f>
        <v>1956.83</v>
      </c>
      <c r="H24" s="10">
        <f>750.4+1209.2</f>
        <v>1959.6</v>
      </c>
      <c r="I24" s="10"/>
      <c r="J24" s="10"/>
      <c r="K24" s="10"/>
      <c r="L24" s="10"/>
      <c r="M24" s="10"/>
      <c r="N24" s="10"/>
      <c r="O24" s="4"/>
      <c r="P24" s="43">
        <f>SUM(C24:N24)</f>
        <v>11676.86</v>
      </c>
    </row>
    <row r="25" spans="2:16" x14ac:dyDescent="0.3">
      <c r="B25" s="55" t="s">
        <v>40</v>
      </c>
      <c r="C25" s="10">
        <v>266</v>
      </c>
      <c r="D25" s="10">
        <v>366</v>
      </c>
      <c r="E25" s="10">
        <v>239.4</v>
      </c>
      <c r="F25" s="10">
        <v>279.3</v>
      </c>
      <c r="G25" s="10">
        <v>239.4</v>
      </c>
      <c r="H25" s="10">
        <v>252.7</v>
      </c>
      <c r="I25" s="10"/>
      <c r="J25" s="10"/>
      <c r="K25" s="10"/>
      <c r="L25" s="10"/>
      <c r="M25" s="10"/>
      <c r="N25" s="10"/>
      <c r="O25" s="4"/>
      <c r="P25" s="43">
        <f>SUM(C25:N25)</f>
        <v>1642.8000000000002</v>
      </c>
    </row>
    <row r="26" spans="2:16" x14ac:dyDescent="0.3">
      <c r="B26" s="55" t="s">
        <v>46</v>
      </c>
      <c r="C26" s="64"/>
      <c r="D26" s="64"/>
      <c r="E26" s="64">
        <v>28.2</v>
      </c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/>
    </row>
    <row r="27" spans="2:16" x14ac:dyDescent="0.3">
      <c r="B27" s="8" t="s">
        <v>3</v>
      </c>
      <c r="C27" s="44">
        <f>SUM(C23:C26)</f>
        <v>5237.5499999999993</v>
      </c>
      <c r="D27" s="44">
        <f t="shared" ref="D27:N27" si="2">SUM(D23:D26)</f>
        <v>5553.35</v>
      </c>
      <c r="E27" s="44">
        <f t="shared" si="2"/>
        <v>5453.5699999999988</v>
      </c>
      <c r="F27" s="44">
        <f t="shared" si="2"/>
        <v>5469.42</v>
      </c>
      <c r="G27" s="44">
        <f t="shared" si="2"/>
        <v>5425.369999999999</v>
      </c>
      <c r="H27" s="44">
        <f t="shared" si="2"/>
        <v>5441.44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0">
        <f>SUM(C27:N27)</f>
        <v>32580.699999999997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575.45000000000073</v>
      </c>
      <c r="D29" s="47">
        <f t="shared" si="3"/>
        <v>259.64999999999964</v>
      </c>
      <c r="E29" s="47">
        <f t="shared" si="3"/>
        <v>-201.16999999999916</v>
      </c>
      <c r="F29" s="47">
        <f t="shared" si="3"/>
        <v>637.98000000000047</v>
      </c>
      <c r="G29" s="47">
        <f t="shared" si="3"/>
        <v>-495.5699999999988</v>
      </c>
      <c r="H29" s="47">
        <f t="shared" si="3"/>
        <v>-70.039999999999054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9">
        <f>SUM(C29:O29)</f>
        <v>706.30000000000382</v>
      </c>
    </row>
    <row r="31" spans="2:16" x14ac:dyDescent="0.3">
      <c r="B31" s="62" t="s">
        <v>37</v>
      </c>
      <c r="C31" s="54">
        <v>400</v>
      </c>
      <c r="D31" s="54">
        <v>400</v>
      </c>
      <c r="E31" s="54">
        <v>360</v>
      </c>
      <c r="F31" s="54">
        <v>420</v>
      </c>
      <c r="G31" s="54">
        <v>360</v>
      </c>
      <c r="H31" s="54">
        <v>380</v>
      </c>
      <c r="I31" s="54"/>
      <c r="J31" s="54"/>
      <c r="K31" s="54"/>
      <c r="L31" s="54"/>
      <c r="M31" s="54"/>
      <c r="N31" s="54"/>
      <c r="P31" s="61">
        <f>SUM(C31:N31)</f>
        <v>2320</v>
      </c>
    </row>
    <row r="32" spans="2:16" x14ac:dyDescent="0.3">
      <c r="B32" s="62" t="s">
        <v>38</v>
      </c>
      <c r="C32" s="54">
        <v>266</v>
      </c>
      <c r="D32" s="54">
        <v>266</v>
      </c>
      <c r="E32" s="54">
        <v>239.4</v>
      </c>
      <c r="F32" s="54">
        <v>279.3</v>
      </c>
      <c r="G32" s="54">
        <v>239.4</v>
      </c>
      <c r="H32" s="54">
        <v>252.7</v>
      </c>
      <c r="I32" s="54"/>
      <c r="J32" s="54"/>
      <c r="K32" s="54"/>
      <c r="L32" s="54"/>
      <c r="M32" s="54"/>
      <c r="N32" s="54"/>
      <c r="P32" s="61">
        <f>SUM(C32:N32)</f>
        <v>1542.8000000000002</v>
      </c>
    </row>
    <row r="34" spans="14:16" x14ac:dyDescent="0.3">
      <c r="N34" s="54" t="s">
        <v>42</v>
      </c>
      <c r="P34" s="61">
        <f>P31*0.665</f>
        <v>1542.8000000000002</v>
      </c>
    </row>
    <row r="35" spans="14:16" x14ac:dyDescent="0.3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6" sqref="B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'2024'!P29+'2025'!P29</f>
        <v>363.85000000000582</v>
      </c>
    </row>
    <row r="4" spans="2:3" ht="16.95" customHeight="1" x14ac:dyDescent="0.3">
      <c r="B4" s="38" t="s">
        <v>39</v>
      </c>
      <c r="C4" s="40">
        <f>'2024'!P12+'2025'!P12</f>
        <v>25.5</v>
      </c>
    </row>
    <row r="5" spans="2:3" x14ac:dyDescent="0.3">
      <c r="B5" t="s">
        <v>44</v>
      </c>
      <c r="C5">
        <f>(2.08*14)-C4</f>
        <v>3.620000000000001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2025-07-09T12:17:06Z</dcterms:modified>
</cp:coreProperties>
</file>