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5DF33B6D-700A-4ECE-816E-0EBBF73B1B6D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'2025'!$B$16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'2025'!$B$15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'2025'!$B$18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'2025'!$B$20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'2025'!$B$19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'2025'!$B$36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'2025'!$B$35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'2025'!$B$33</definedName>
    <definedName name="SORTIES" localSheetId="0">'2023'!$B$21</definedName>
    <definedName name="SORTIES" localSheetId="1">'2024'!$B$21</definedName>
    <definedName name="SORTIES" localSheetId="2">'2025'!$B$23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'2025'!$B$28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'2025'!$B$30</definedName>
    <definedName name="SORTIES_FRAIS_PEE_AMUNDI" localSheetId="0">'2023'!#REF!</definedName>
    <definedName name="SORTIES_FRAIS_PEE_AMUNDI" localSheetId="1">'2024'!#REF!</definedName>
    <definedName name="SORTIES_FRAIS_PEE_AMUNDI" localSheetId="2">'2025'!$B$27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NET">'2025'!$B$25</definedName>
    <definedName name="SORTIES_INTERESSMENET_CSG_CRDS">'2025'!$B$26</definedName>
    <definedName name="SORTIES_SALAIRE_NET" localSheetId="0">'2023'!$B$22</definedName>
    <definedName name="SORTIES_SALAIRE_NET" localSheetId="1">'2024'!$B$22</definedName>
    <definedName name="SORTIES_SALAIRE_NET" localSheetId="2">'2025'!$B$24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'2025'!$B$21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'2025'!$B$31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3" i="16" l="1"/>
  <c r="P14" i="16"/>
  <c r="G26" i="16" l="1"/>
  <c r="G25" i="16"/>
  <c r="G27" i="16" s="1"/>
  <c r="G28" i="16"/>
  <c r="G19" i="16"/>
  <c r="F28" i="16" l="1"/>
  <c r="F26" i="16"/>
  <c r="F25" i="16"/>
  <c r="F27" i="16" s="1"/>
  <c r="F19" i="16"/>
  <c r="E26" i="16" l="1"/>
  <c r="P36" i="16"/>
  <c r="P35" i="16"/>
  <c r="N31" i="16"/>
  <c r="M31" i="16"/>
  <c r="L31" i="16"/>
  <c r="K31" i="16"/>
  <c r="J31" i="16"/>
  <c r="I31" i="16"/>
  <c r="H31" i="16"/>
  <c r="G31" i="16"/>
  <c r="F31" i="16"/>
  <c r="P30" i="16"/>
  <c r="E28" i="16"/>
  <c r="D28" i="16"/>
  <c r="C28" i="16"/>
  <c r="D26" i="16"/>
  <c r="C26" i="16"/>
  <c r="E25" i="16"/>
  <c r="E27" i="16" s="1"/>
  <c r="D25" i="16"/>
  <c r="C25" i="16"/>
  <c r="P24" i="16"/>
  <c r="N21" i="16"/>
  <c r="M21" i="16"/>
  <c r="L21" i="16"/>
  <c r="K21" i="16"/>
  <c r="J21" i="16"/>
  <c r="I21" i="16"/>
  <c r="I33" i="16" s="1"/>
  <c r="H21" i="16"/>
  <c r="H33" i="16" s="1"/>
  <c r="G21" i="16"/>
  <c r="F21" i="16"/>
  <c r="P20" i="16"/>
  <c r="E19" i="16"/>
  <c r="E21" i="16" s="1"/>
  <c r="D19" i="16"/>
  <c r="D21" i="16" s="1"/>
  <c r="C19" i="16"/>
  <c r="P16" i="16"/>
  <c r="P15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0" i="15"/>
  <c r="P29" i="15"/>
  <c r="P32" i="15" s="1"/>
  <c r="P33" i="15" s="1"/>
  <c r="I25" i="15"/>
  <c r="F25" i="15"/>
  <c r="P24" i="15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H23" i="15"/>
  <c r="H25" i="15" s="1"/>
  <c r="G23" i="15"/>
  <c r="G25" i="15" s="1"/>
  <c r="F23" i="15"/>
  <c r="E23" i="15"/>
  <c r="E25" i="15" s="1"/>
  <c r="D23" i="15"/>
  <c r="C23" i="15"/>
  <c r="C25" i="15" s="1"/>
  <c r="P22" i="15"/>
  <c r="G19" i="15"/>
  <c r="G27" i="15" s="1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J27" i="15" s="1"/>
  <c r="I17" i="15"/>
  <c r="I19" i="15" s="1"/>
  <c r="I27" i="15" s="1"/>
  <c r="H17" i="15"/>
  <c r="H19" i="15" s="1"/>
  <c r="G17" i="15"/>
  <c r="F17" i="15"/>
  <c r="F19" i="15" s="1"/>
  <c r="F27" i="15" s="1"/>
  <c r="E17" i="15"/>
  <c r="E19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P33" i="14" s="1"/>
  <c r="N25" i="14"/>
  <c r="L25" i="14"/>
  <c r="H25" i="14"/>
  <c r="G25" i="14"/>
  <c r="F25" i="14"/>
  <c r="E25" i="14"/>
  <c r="D25" i="14"/>
  <c r="C25" i="14"/>
  <c r="P24" i="14"/>
  <c r="N23" i="14"/>
  <c r="M23" i="14"/>
  <c r="M25" i="14" s="1"/>
  <c r="L23" i="14"/>
  <c r="K23" i="14"/>
  <c r="K25" i="14" s="1"/>
  <c r="J23" i="14"/>
  <c r="J25" i="14" s="1"/>
  <c r="I23" i="14"/>
  <c r="I25" i="14" s="1"/>
  <c r="P22" i="14"/>
  <c r="J19" i="14"/>
  <c r="J27" i="14" s="1"/>
  <c r="H19" i="14"/>
  <c r="H27" i="14" s="1"/>
  <c r="G19" i="14"/>
  <c r="F19" i="14"/>
  <c r="F27" i="14" s="1"/>
  <c r="E19" i="14"/>
  <c r="D19" i="14"/>
  <c r="D27" i="14" s="1"/>
  <c r="C19" i="14"/>
  <c r="P18" i="14"/>
  <c r="N17" i="14"/>
  <c r="N19" i="14" s="1"/>
  <c r="M17" i="14"/>
  <c r="M19" i="14" s="1"/>
  <c r="L17" i="14"/>
  <c r="L19" i="14" s="1"/>
  <c r="K17" i="14"/>
  <c r="K19" i="14" s="1"/>
  <c r="K27" i="14" s="1"/>
  <c r="J17" i="14"/>
  <c r="I17" i="14"/>
  <c r="I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N33" i="16" l="1"/>
  <c r="C4" i="13"/>
  <c r="C5" i="13" s="1"/>
  <c r="E27" i="15"/>
  <c r="M27" i="15"/>
  <c r="G33" i="16"/>
  <c r="P23" i="14"/>
  <c r="P17" i="15"/>
  <c r="K27" i="15"/>
  <c r="N27" i="14"/>
  <c r="C27" i="14"/>
  <c r="P27" i="14" s="1"/>
  <c r="L27" i="14"/>
  <c r="P8" i="15"/>
  <c r="P8" i="14"/>
  <c r="E27" i="14"/>
  <c r="N27" i="15"/>
  <c r="P23" i="15"/>
  <c r="I27" i="14"/>
  <c r="G27" i="14"/>
  <c r="P28" i="16"/>
  <c r="F33" i="16"/>
  <c r="P8" i="16"/>
  <c r="P19" i="16"/>
  <c r="M33" i="16"/>
  <c r="J33" i="16"/>
  <c r="P25" i="16"/>
  <c r="K33" i="16"/>
  <c r="P26" i="16"/>
  <c r="L33" i="16"/>
  <c r="C21" i="16"/>
  <c r="P21" i="16" s="1"/>
  <c r="C27" i="16"/>
  <c r="C31" i="16" s="1"/>
  <c r="C33" i="16" s="1"/>
  <c r="L27" i="15"/>
  <c r="P25" i="14"/>
  <c r="M27" i="14"/>
  <c r="H27" i="15"/>
  <c r="P19" i="14"/>
  <c r="C19" i="15"/>
  <c r="D27" i="16"/>
  <c r="P17" i="14"/>
  <c r="E31" i="16"/>
  <c r="E33" i="16" s="1"/>
  <c r="D25" i="15"/>
  <c r="P25" i="15" s="1"/>
  <c r="P19" i="15" l="1"/>
  <c r="C27" i="15"/>
  <c r="P27" i="16"/>
  <c r="D31" i="16"/>
  <c r="D27" i="15"/>
  <c r="P27" i="15" l="1"/>
  <c r="D33" i="16"/>
  <c r="P33" i="16" s="1"/>
  <c r="C3" i="13" s="1"/>
  <c r="P31" i="16"/>
</calcChain>
</file>

<file path=xl/sharedStrings.xml><?xml version="1.0" encoding="utf-8"?>
<sst xmlns="http://schemas.openxmlformats.org/spreadsheetml/2006/main" count="128" uniqueCount="53">
  <si>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</si>
  <si>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</si>
  <si>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</si>
  <si>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</si>
  <si>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</si>
  <si>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</si>
  <si>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</si>
  <si>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</si>
  <si>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</si>
  <si>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</si>
  <si>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</si>
  <si>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</si>
  <si>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</si>
  <si>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</si>
  <si>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</si>
  <si>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</si>
  <si>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</si>
  <si>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</si>
  <si>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</si>
  <si>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</si>
  <si>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</si>
  <si>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</si>
  <si>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</si>
  <si>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</si>
  <si>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</si>
  <si>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</si>
  <si>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</si>
  <si>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</si>
  <si>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</si>
  <si>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</si>
  <si>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</si>
  <si>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</si>
  <si>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</si>
  <si>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</si>
  <si>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</si>
  <si>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</si>
  <si>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</si>
  <si>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</si>
  <si>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</si>
  <si>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</si>
  <si>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</si>
  <si>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(Juillt 2023)</t>
  </si>
  <si>
    <t>Frais KM annuel à payer</t>
  </si>
  <si>
    <t>Régularisation Frais KM</t>
  </si>
  <si>
    <t>TJM (Janvier 2024)</t>
  </si>
  <si>
    <t>Intéressement Net</t>
  </si>
  <si>
    <t>CSG/CRDS Intéressement</t>
  </si>
  <si>
    <t>Frais PEE Amundi</t>
  </si>
  <si>
    <t>Solde Congé</t>
  </si>
  <si>
    <t>TJM (Janvier 2025)</t>
  </si>
  <si>
    <t>Exceptionnel</t>
  </si>
  <si>
    <t>Paternité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</si>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</sst>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11" fillId="4" borderId="5" xfId="0" applyNumberFormat="1" applyFont="1" applyFill="1" applyBorder="1"/>
    <xf numFmtId="0" fontId="10" fillId="0" borderId="5" xfId="0" applyFont="1" applyBorder="1" applyProtection="1">
      <protection locked="0"/>
    </xf>
    <xf numFmtId="4" fontId="12" fillId="4" borderId="5" xfId="0" applyNumberFormat="1" applyFont="1" applyFill="1" applyBorder="1"/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I3" sqref="I3:N3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114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20</v>
      </c>
      <c r="J7" s="37">
        <v>22</v>
      </c>
      <c r="K7" s="37">
        <v>19</v>
      </c>
      <c r="L7" s="37">
        <v>21</v>
      </c>
      <c r="M7" s="37">
        <v>21</v>
      </c>
      <c r="N7" s="37">
        <v>20</v>
      </c>
      <c r="O7" s="36"/>
      <c r="P7" s="57">
        <f>SUM(C7:N7)</f>
        <v>123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1</v>
      </c>
      <c r="J8" s="63">
        <f t="shared" si="0"/>
        <v>3</v>
      </c>
      <c r="K8" s="63">
        <f t="shared" si="0"/>
        <v>0</v>
      </c>
      <c r="L8" s="63">
        <f t="shared" si="0"/>
        <v>2</v>
      </c>
      <c r="M8" s="63">
        <f t="shared" si="0"/>
        <v>2</v>
      </c>
      <c r="N8" s="63">
        <f t="shared" si="0"/>
        <v>1</v>
      </c>
      <c r="O8" s="36"/>
      <c r="P8" s="57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20</v>
      </c>
      <c r="J11" s="11">
        <v>22</v>
      </c>
      <c r="K11" s="11">
        <v>19</v>
      </c>
      <c r="L11" s="11">
        <v>21</v>
      </c>
      <c r="M11" s="11">
        <v>21</v>
      </c>
      <c r="N11" s="11">
        <v>20</v>
      </c>
      <c r="P11" s="58">
        <f>SUM(C11:N11)</f>
        <v>123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>
        <v>2</v>
      </c>
      <c r="L12" s="12">
        <v>1</v>
      </c>
      <c r="M12" s="12"/>
      <c r="N12" s="12"/>
      <c r="P12" s="58">
        <f>SUM(C12:N12)</f>
        <v>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9493</v>
      </c>
      <c r="J17" s="10">
        <f>J11*Params!$C$5*(1-Params!$C$3)-Params!$C$4</f>
        <v>10449.800000000001</v>
      </c>
      <c r="K17" s="10">
        <f>K11*Params!$C$5*(1-Params!$C$3)-Params!$C$4</f>
        <v>9014.6</v>
      </c>
      <c r="L17" s="10">
        <f>L11*Params!$C$5*(1-Params!$C$3)-Params!$C$4</f>
        <v>9971.4</v>
      </c>
      <c r="M17" s="10">
        <f>M11*Params!$C$5*(1-Params!$C$3)-Params!$C$4</f>
        <v>9971.4</v>
      </c>
      <c r="N17" s="10">
        <f>N11*Params!$C$5*(1-Params!$C$3)-Params!$C$4</f>
        <v>9493</v>
      </c>
      <c r="O17" s="4"/>
      <c r="P17" s="41">
        <f>SUM(C17:N17)</f>
        <v>58393.200000000004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9493</v>
      </c>
      <c r="J19" s="28">
        <f t="shared" si="1"/>
        <v>10449.800000000001</v>
      </c>
      <c r="K19" s="28">
        <f t="shared" si="1"/>
        <v>9014.6</v>
      </c>
      <c r="L19" s="28">
        <f t="shared" si="1"/>
        <v>9971.4</v>
      </c>
      <c r="M19" s="28">
        <f t="shared" si="1"/>
        <v>9971.4</v>
      </c>
      <c r="N19" s="28">
        <f t="shared" si="1"/>
        <v>9493</v>
      </c>
      <c r="O19" s="5"/>
      <c r="P19" s="42">
        <f>SUM(C19:O19)</f>
        <v>58393.200000000004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5401.22</v>
      </c>
      <c r="J22" s="10">
        <v>5398.95</v>
      </c>
      <c r="K22" s="10">
        <v>5398.95</v>
      </c>
      <c r="L22" s="10">
        <v>5398.95</v>
      </c>
      <c r="M22" s="10">
        <v>5398.95</v>
      </c>
      <c r="N22" s="10">
        <v>5398.95</v>
      </c>
      <c r="O22" s="4"/>
      <c r="P22" s="43">
        <f>SUM(C22:N22)</f>
        <v>32395.97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1111.72+1889.02</f>
        <v>3000.74</v>
      </c>
      <c r="J23" s="10">
        <f>1113.99+1890.11</f>
        <v>3004.1</v>
      </c>
      <c r="K23" s="10">
        <f>1113.99+1890.11</f>
        <v>3004.1</v>
      </c>
      <c r="L23" s="10">
        <f>1113.99+1895.36</f>
        <v>3009.35</v>
      </c>
      <c r="M23" s="10">
        <f>1113.99+1892.75</f>
        <v>3006.74</v>
      </c>
      <c r="N23" s="10">
        <f>1113.99+1890.11</f>
        <v>3004.1</v>
      </c>
      <c r="O23" s="4"/>
      <c r="P23" s="43">
        <f>SUM(C23:N23)</f>
        <v>18029.13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279.52</v>
      </c>
      <c r="J24" s="10">
        <v>297.47199999999998</v>
      </c>
      <c r="K24" s="10">
        <v>270.54399999999998</v>
      </c>
      <c r="L24" s="10">
        <v>288.49599999999998</v>
      </c>
      <c r="M24" s="10">
        <v>288.49599999999998</v>
      </c>
      <c r="N24" s="10">
        <v>538.54999999999995</v>
      </c>
      <c r="O24" s="4"/>
      <c r="P24" s="43">
        <f>SUM(C24:N24)</f>
        <v>1963.0779999999997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8681.48</v>
      </c>
      <c r="J25" s="44">
        <f t="shared" si="2"/>
        <v>8700.521999999999</v>
      </c>
      <c r="K25" s="44">
        <f t="shared" si="2"/>
        <v>8673.5939999999991</v>
      </c>
      <c r="L25" s="44">
        <f t="shared" si="2"/>
        <v>8696.7959999999985</v>
      </c>
      <c r="M25" s="44">
        <f t="shared" si="2"/>
        <v>8694.1859999999979</v>
      </c>
      <c r="N25" s="44">
        <f t="shared" si="2"/>
        <v>8941.5999999999985</v>
      </c>
      <c r="O25" s="4"/>
      <c r="P25" s="60">
        <f>SUM(C25:N25)</f>
        <v>52388.177999999993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811.52000000000044</v>
      </c>
      <c r="J27" s="47">
        <f t="shared" si="3"/>
        <v>1749.2780000000021</v>
      </c>
      <c r="K27" s="47">
        <f t="shared" si="3"/>
        <v>341.00600000000122</v>
      </c>
      <c r="L27" s="47">
        <f t="shared" si="3"/>
        <v>1274.6040000000012</v>
      </c>
      <c r="M27" s="47">
        <f t="shared" si="3"/>
        <v>1277.2140000000018</v>
      </c>
      <c r="N27" s="47">
        <f t="shared" si="3"/>
        <v>551.40000000000146</v>
      </c>
      <c r="P27" s="59">
        <f>SUM(C27:O27)</f>
        <v>6005.0220000000081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>
        <v>480</v>
      </c>
      <c r="J29" s="54">
        <v>528</v>
      </c>
      <c r="K29" s="54">
        <v>456</v>
      </c>
      <c r="L29" s="54">
        <v>504</v>
      </c>
      <c r="M29" s="54">
        <v>504</v>
      </c>
      <c r="N29" s="54">
        <v>480</v>
      </c>
      <c r="P29" s="61">
        <f>SUM(C29:N29)</f>
        <v>2952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>
        <v>279.52</v>
      </c>
      <c r="J30" s="54">
        <v>297.47199999999998</v>
      </c>
      <c r="K30" s="54">
        <v>270.54399999999998</v>
      </c>
      <c r="L30" s="54">
        <v>288.49599999999998</v>
      </c>
      <c r="M30" s="54">
        <v>288.49599999999998</v>
      </c>
      <c r="N30" s="54">
        <v>179.52</v>
      </c>
      <c r="P30" s="61">
        <f>SUM(C30:N30)</f>
        <v>1604.0479999999998</v>
      </c>
    </row>
    <row r="32" spans="2:16" x14ac:dyDescent="0.3">
      <c r="N32" s="54" t="s">
        <v>42</v>
      </c>
      <c r="P32" s="61">
        <f>P29*0.665</f>
        <v>1963.0800000000002</v>
      </c>
    </row>
    <row r="33" spans="14:16" x14ac:dyDescent="0.3">
      <c r="N33" s="54" t="s">
        <v>43</v>
      </c>
      <c r="P33" s="61">
        <f>P32-P30</f>
        <v>359.03200000000038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3"/>
  <sheetViews>
    <sheetView topLeftCell="A4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20</v>
      </c>
      <c r="O6" s="36"/>
      <c r="P6" s="57">
        <f>SUM(C6:N6)</f>
        <v>240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16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20</v>
      </c>
      <c r="O7" s="36"/>
      <c r="P7" s="57">
        <f>SUM(C7:N7)</f>
        <v>248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1</v>
      </c>
      <c r="E8" s="63">
        <f t="shared" si="0"/>
        <v>1</v>
      </c>
      <c r="F8" s="63">
        <f t="shared" si="0"/>
        <v>1</v>
      </c>
      <c r="G8" s="63">
        <f t="shared" si="0"/>
        <v>-4</v>
      </c>
      <c r="H8" s="63">
        <f t="shared" si="0"/>
        <v>0</v>
      </c>
      <c r="I8" s="63">
        <f t="shared" si="0"/>
        <v>3</v>
      </c>
      <c r="J8" s="63">
        <f t="shared" si="0"/>
        <v>1</v>
      </c>
      <c r="K8" s="63">
        <f t="shared" si="0"/>
        <v>1</v>
      </c>
      <c r="L8" s="63">
        <f t="shared" si="0"/>
        <v>3</v>
      </c>
      <c r="M8" s="63">
        <f t="shared" si="0"/>
        <v>-1</v>
      </c>
      <c r="N8" s="63">
        <f t="shared" si="0"/>
        <v>0</v>
      </c>
      <c r="O8" s="36"/>
      <c r="P8" s="57">
        <f>SUM(C8:N8)</f>
        <v>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16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20</v>
      </c>
      <c r="P11" s="58">
        <f>SUM(C11:N11)</f>
        <v>248</v>
      </c>
    </row>
    <row r="12" spans="2:16" x14ac:dyDescent="0.3">
      <c r="B12" s="9" t="s">
        <v>16</v>
      </c>
      <c r="C12" s="12"/>
      <c r="D12" s="12"/>
      <c r="E12" s="12"/>
      <c r="F12" s="12"/>
      <c r="G12" s="12">
        <v>3</v>
      </c>
      <c r="H12" s="12"/>
      <c r="I12" s="12"/>
      <c r="J12" s="12"/>
      <c r="K12" s="12"/>
      <c r="L12" s="12"/>
      <c r="M12" s="12"/>
      <c r="N12" s="12">
        <v>1</v>
      </c>
      <c r="P12" s="58">
        <f>SUM(C12:N12)</f>
        <v>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11461.800000000001</v>
      </c>
      <c r="D17" s="10">
        <f>D11*Params!$C$6*(1-Params!$C$3)-Params!$C$4</f>
        <v>10937.4</v>
      </c>
      <c r="E17" s="10">
        <f>E11*Params!$C$6*(1-Params!$C$3)-Params!$C$4</f>
        <v>10937.4</v>
      </c>
      <c r="F17" s="10">
        <f>F11*Params!$C$6*(1-Params!$C$3)-Params!$C$4</f>
        <v>10937.4</v>
      </c>
      <c r="G17" s="10">
        <f>G11*Params!$C$6*(1-Params!$C$3)-Params!$C$4</f>
        <v>8315.4</v>
      </c>
      <c r="H17" s="10">
        <f>H11*Params!$C$6*(1-Params!$C$3)-Params!$C$4</f>
        <v>10413</v>
      </c>
      <c r="I17" s="10">
        <f>I11*Params!$C$6*(1-Params!$C$3)-Params!$C$4</f>
        <v>11986.2</v>
      </c>
      <c r="J17" s="10">
        <f>J11*Params!$C$6*(1-Params!$C$3)-Params!$C$4</f>
        <v>10937.4</v>
      </c>
      <c r="K17" s="10">
        <f>K11*Params!$C$6*(1-Params!$C$3)-Params!$C$4</f>
        <v>10937.4</v>
      </c>
      <c r="L17" s="10">
        <f>L11*Params!$C$6*(1-Params!$C$3)-Params!$C$4</f>
        <v>11986.2</v>
      </c>
      <c r="M17" s="10">
        <f>M11*Params!$C$6*(1-Params!$C$3)-Params!$C$4</f>
        <v>9888.6</v>
      </c>
      <c r="N17" s="10">
        <f>N11*Params!$C$6*(1-Params!$C$3)-Params!$C$4</f>
        <v>10413</v>
      </c>
      <c r="O17" s="4"/>
      <c r="P17" s="41">
        <f>SUM(C17:N17)</f>
        <v>129151.2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11461.800000000001</v>
      </c>
      <c r="D19" s="28">
        <f t="shared" si="1"/>
        <v>10937.4</v>
      </c>
      <c r="E19" s="28">
        <f t="shared" si="1"/>
        <v>10937.4</v>
      </c>
      <c r="F19" s="28">
        <f t="shared" si="1"/>
        <v>10937.4</v>
      </c>
      <c r="G19" s="28">
        <f t="shared" si="1"/>
        <v>8315.4</v>
      </c>
      <c r="H19" s="28">
        <f t="shared" si="1"/>
        <v>10413</v>
      </c>
      <c r="I19" s="28">
        <f t="shared" si="1"/>
        <v>11986.2</v>
      </c>
      <c r="J19" s="28">
        <f t="shared" si="1"/>
        <v>10937.4</v>
      </c>
      <c r="K19" s="28">
        <f t="shared" si="1"/>
        <v>10937.4</v>
      </c>
      <c r="L19" s="28">
        <f t="shared" si="1"/>
        <v>11986.2</v>
      </c>
      <c r="M19" s="28">
        <f t="shared" si="1"/>
        <v>9888.6</v>
      </c>
      <c r="N19" s="28">
        <f t="shared" si="1"/>
        <v>10413</v>
      </c>
      <c r="O19" s="5"/>
      <c r="P19" s="42">
        <f>SUM(C19:O19)</f>
        <v>129151.2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6034.95</v>
      </c>
      <c r="D22" s="10">
        <v>6034.95</v>
      </c>
      <c r="E22" s="10">
        <v>6034.95</v>
      </c>
      <c r="F22" s="10">
        <v>6034.95</v>
      </c>
      <c r="G22" s="10">
        <v>6034.95</v>
      </c>
      <c r="H22" s="10">
        <v>6034.95</v>
      </c>
      <c r="I22" s="10">
        <v>6034.95</v>
      </c>
      <c r="J22" s="10">
        <v>6034.95</v>
      </c>
      <c r="K22" s="10">
        <v>6034.95</v>
      </c>
      <c r="L22" s="10">
        <v>6034.95</v>
      </c>
      <c r="M22" s="10">
        <v>6034.95</v>
      </c>
      <c r="N22" s="10">
        <v>6034.95</v>
      </c>
      <c r="O22" s="4"/>
      <c r="P22" s="43">
        <f>SUM(C22:N22)</f>
        <v>72419.39999999998</v>
      </c>
    </row>
    <row r="23" spans="2:16" x14ac:dyDescent="0.3">
      <c r="B23" s="9" t="s">
        <v>8</v>
      </c>
      <c r="C23" s="10">
        <f>1330.63+2549.09</f>
        <v>3879.7200000000003</v>
      </c>
      <c r="D23" s="10">
        <f>1330.63+2549.09</f>
        <v>3879.7200000000003</v>
      </c>
      <c r="E23" s="10">
        <f>1330.63+2549.09</f>
        <v>3879.7200000000003</v>
      </c>
      <c r="F23" s="10">
        <f>1330.63+2549.09</f>
        <v>3879.7200000000003</v>
      </c>
      <c r="G23" s="10">
        <f>1330.63+2576.71</f>
        <v>3907.34</v>
      </c>
      <c r="H23" s="10">
        <f>1330.63+2580.86</f>
        <v>3911.4900000000002</v>
      </c>
      <c r="I23" s="10">
        <f t="shared" ref="I23:N23" si="2">1330.63+2579.77</f>
        <v>3910.4</v>
      </c>
      <c r="J23" s="10">
        <f t="shared" si="2"/>
        <v>3910.4</v>
      </c>
      <c r="K23" s="10">
        <f t="shared" si="2"/>
        <v>3910.4</v>
      </c>
      <c r="L23" s="10">
        <f t="shared" si="2"/>
        <v>3910.4</v>
      </c>
      <c r="M23" s="10">
        <f t="shared" si="2"/>
        <v>3910.4</v>
      </c>
      <c r="N23" s="10">
        <f t="shared" si="2"/>
        <v>3910.4</v>
      </c>
      <c r="O23" s="4"/>
      <c r="P23" s="43">
        <f>SUM(C23:N23)</f>
        <v>46800.110000000008</v>
      </c>
    </row>
    <row r="24" spans="2:16" x14ac:dyDescent="0.3">
      <c r="B24" s="55" t="s">
        <v>40</v>
      </c>
      <c r="C24" s="10">
        <v>379.75200000000001</v>
      </c>
      <c r="D24" s="10">
        <v>367.036</v>
      </c>
      <c r="E24" s="10">
        <v>367.036</v>
      </c>
      <c r="F24" s="10">
        <v>367.036</v>
      </c>
      <c r="G24" s="10">
        <v>303.45600000000002</v>
      </c>
      <c r="H24" s="10">
        <v>354.32</v>
      </c>
      <c r="I24" s="10">
        <v>392.46800000000002</v>
      </c>
      <c r="J24" s="10">
        <v>367.036</v>
      </c>
      <c r="K24" s="10">
        <v>367.036</v>
      </c>
      <c r="L24" s="10">
        <v>392.46800000000002</v>
      </c>
      <c r="M24" s="10">
        <v>341.60399999999998</v>
      </c>
      <c r="N24" s="10">
        <v>598.6</v>
      </c>
      <c r="O24" s="4"/>
      <c r="P24" s="43">
        <f>SUM(C24:N24)</f>
        <v>4597.848</v>
      </c>
    </row>
    <row r="25" spans="2:16" x14ac:dyDescent="0.3">
      <c r="B25" s="8" t="s">
        <v>3</v>
      </c>
      <c r="C25" s="44">
        <f t="shared" ref="C25:N25" si="3">SUM(C22:C24)</f>
        <v>10294.422</v>
      </c>
      <c r="D25" s="44">
        <f t="shared" si="3"/>
        <v>10281.706</v>
      </c>
      <c r="E25" s="44">
        <f t="shared" si="3"/>
        <v>10281.706</v>
      </c>
      <c r="F25" s="44">
        <f t="shared" si="3"/>
        <v>10281.706</v>
      </c>
      <c r="G25" s="44">
        <f t="shared" si="3"/>
        <v>10245.746000000001</v>
      </c>
      <c r="H25" s="44">
        <f t="shared" si="3"/>
        <v>10300.76</v>
      </c>
      <c r="I25" s="44">
        <f t="shared" si="3"/>
        <v>10337.818000000001</v>
      </c>
      <c r="J25" s="44">
        <f t="shared" si="3"/>
        <v>10312.386</v>
      </c>
      <c r="K25" s="44">
        <f t="shared" si="3"/>
        <v>10312.386</v>
      </c>
      <c r="L25" s="44">
        <f t="shared" si="3"/>
        <v>10337.818000000001</v>
      </c>
      <c r="M25" s="44">
        <f t="shared" si="3"/>
        <v>10286.954</v>
      </c>
      <c r="N25" s="44">
        <f t="shared" si="3"/>
        <v>10543.95</v>
      </c>
      <c r="O25" s="4"/>
      <c r="P25" s="60">
        <f>SUM(C25:N25)</f>
        <v>123817.35799999999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4">C19-C25</f>
        <v>1167.3780000000006</v>
      </c>
      <c r="D27" s="47">
        <f t="shared" si="4"/>
        <v>655.69399999999951</v>
      </c>
      <c r="E27" s="47">
        <f t="shared" si="4"/>
        <v>655.69399999999951</v>
      </c>
      <c r="F27" s="47">
        <f t="shared" si="4"/>
        <v>655.69399999999951</v>
      </c>
      <c r="G27" s="47">
        <f t="shared" si="4"/>
        <v>-1930.3460000000014</v>
      </c>
      <c r="H27" s="47">
        <f t="shared" si="4"/>
        <v>112.23999999999978</v>
      </c>
      <c r="I27" s="47">
        <f t="shared" si="4"/>
        <v>1648.3819999999996</v>
      </c>
      <c r="J27" s="47">
        <f t="shared" si="4"/>
        <v>625.01399999999921</v>
      </c>
      <c r="K27" s="47">
        <f t="shared" si="4"/>
        <v>625.01399999999921</v>
      </c>
      <c r="L27" s="47">
        <f t="shared" si="4"/>
        <v>1648.3819999999996</v>
      </c>
      <c r="M27" s="47">
        <f t="shared" si="4"/>
        <v>-398.35399999999936</v>
      </c>
      <c r="N27" s="47">
        <f t="shared" si="4"/>
        <v>-130.95000000000073</v>
      </c>
      <c r="P27" s="59">
        <f>SUM(C27:O27)</f>
        <v>5333.8419999999951</v>
      </c>
    </row>
    <row r="29" spans="2:16" x14ac:dyDescent="0.3">
      <c r="B29" s="62" t="s">
        <v>37</v>
      </c>
      <c r="C29" s="54">
        <v>748</v>
      </c>
      <c r="D29" s="54">
        <v>714</v>
      </c>
      <c r="E29" s="54">
        <v>714</v>
      </c>
      <c r="F29" s="54">
        <v>714</v>
      </c>
      <c r="G29" s="54">
        <v>544</v>
      </c>
      <c r="H29" s="54">
        <v>680</v>
      </c>
      <c r="I29" s="54">
        <v>782</v>
      </c>
      <c r="J29" s="54">
        <v>714</v>
      </c>
      <c r="K29" s="54">
        <v>714</v>
      </c>
      <c r="L29" s="54">
        <v>782</v>
      </c>
      <c r="M29" s="54">
        <v>646</v>
      </c>
      <c r="N29" s="54">
        <v>680</v>
      </c>
      <c r="P29" s="61">
        <f>SUM(C29:N29)</f>
        <v>8432</v>
      </c>
    </row>
    <row r="30" spans="2:16" x14ac:dyDescent="0.3">
      <c r="B30" s="62" t="s">
        <v>38</v>
      </c>
      <c r="C30" s="54">
        <v>379.75200000000001</v>
      </c>
      <c r="D30" s="54">
        <v>367.036</v>
      </c>
      <c r="E30" s="54">
        <v>367.036</v>
      </c>
      <c r="F30" s="54">
        <v>367.036</v>
      </c>
      <c r="G30" s="54">
        <v>303.45600000000002</v>
      </c>
      <c r="H30" s="54">
        <v>354.32</v>
      </c>
      <c r="I30" s="54">
        <v>392.46800000000002</v>
      </c>
      <c r="J30" s="54">
        <v>367.036</v>
      </c>
      <c r="K30" s="54">
        <v>367.036</v>
      </c>
      <c r="L30" s="54">
        <v>392.46800000000002</v>
      </c>
      <c r="M30" s="54">
        <v>341.60399999999998</v>
      </c>
      <c r="N30" s="54">
        <v>598.6</v>
      </c>
      <c r="P30" s="61">
        <f>SUM(C30:N30)</f>
        <v>4597.848</v>
      </c>
    </row>
    <row r="32" spans="2:16" x14ac:dyDescent="0.3">
      <c r="N32" s="54" t="s">
        <v>42</v>
      </c>
      <c r="P32" s="54">
        <f>(P29*0.374)+1457</f>
        <v>4610.5680000000002</v>
      </c>
    </row>
    <row r="33" spans="14:16" x14ac:dyDescent="0.3">
      <c r="N33" s="54" t="s">
        <v>43</v>
      </c>
      <c r="P33" s="54">
        <f>P32-P30</f>
        <v>12.720000000000255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6"/>
  <sheetViews>
    <sheetView workbookViewId="0">
      <selection activeCell="G30" sqref="G30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/>
      <c r="I6" s="37"/>
      <c r="J6" s="37"/>
      <c r="K6" s="37"/>
      <c r="L6" s="37"/>
      <c r="M6" s="37"/>
      <c r="N6" s="37"/>
      <c r="O6" s="36"/>
      <c r="P6" s="57">
        <f>SUM(C6:N6)</f>
        <v>100</v>
      </c>
    </row>
    <row r="7" spans="2:16" x14ac:dyDescent="0.3">
      <c r="B7" s="9" t="s">
        <v>21</v>
      </c>
      <c r="C7" s="37">
        <v>22</v>
      </c>
      <c r="D7" s="37">
        <v>20</v>
      </c>
      <c r="E7" s="37">
        <v>16</v>
      </c>
      <c r="F7" s="37">
        <v>21</v>
      </c>
      <c r="G7" s="37">
        <v>18</v>
      </c>
      <c r="H7" s="37"/>
      <c r="I7" s="37"/>
      <c r="J7" s="37"/>
      <c r="K7" s="37"/>
      <c r="L7" s="37"/>
      <c r="M7" s="37"/>
      <c r="N7" s="37"/>
      <c r="O7" s="36"/>
      <c r="P7" s="57">
        <f>SUM(C7:N7)</f>
        <v>97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0</v>
      </c>
      <c r="E8" s="63">
        <f t="shared" si="0"/>
        <v>-4</v>
      </c>
      <c r="F8" s="63">
        <f t="shared" si="0"/>
        <v>1</v>
      </c>
      <c r="G8" s="63">
        <f t="shared" si="0"/>
        <v>-2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16</v>
      </c>
      <c r="F11" s="11">
        <v>21</v>
      </c>
      <c r="G11" s="11">
        <v>18</v>
      </c>
      <c r="H11" s="11"/>
      <c r="I11" s="11"/>
      <c r="J11" s="11"/>
      <c r="K11" s="11"/>
      <c r="L11" s="11"/>
      <c r="M11" s="11"/>
      <c r="N11" s="11"/>
      <c r="P11" s="58">
        <f>SUM(C11:N11)</f>
        <v>97</v>
      </c>
    </row>
    <row r="12" spans="2:16" x14ac:dyDescent="0.3">
      <c r="B12" s="9" t="s">
        <v>16</v>
      </c>
      <c r="C12" s="12"/>
      <c r="D12" s="12"/>
      <c r="E12" s="12">
        <v>0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50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 t="shared" ref="P13:P14" si="1">SUM(C13:N13)</f>
        <v>3</v>
      </c>
    </row>
    <row r="14" spans="2:16" x14ac:dyDescent="0.3">
      <c r="B14" s="9" t="s">
        <v>51</v>
      </c>
      <c r="C14" s="12"/>
      <c r="D14" s="12"/>
      <c r="E14" s="12">
        <v>4</v>
      </c>
      <c r="F14" s="12"/>
      <c r="G14" s="12">
        <v>3</v>
      </c>
      <c r="H14" s="12">
        <v>12</v>
      </c>
      <c r="I14" s="12"/>
      <c r="J14" s="12"/>
      <c r="K14" s="12"/>
      <c r="L14" s="12"/>
      <c r="M14" s="12"/>
      <c r="N14" s="12"/>
      <c r="P14" s="58">
        <f t="shared" si="1"/>
        <v>19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8">
        <f>SUM(C15:N15)</f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8">
        <f>SUM(C16:N16)</f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12069</v>
      </c>
      <c r="D19" s="10">
        <f>D11*Params!$C$7*(1-Params!$C$3)-Params!$C$4</f>
        <v>10965</v>
      </c>
      <c r="E19" s="10">
        <f>E11*Params!$C$7*(1-Params!$C$3)-Params!$C$4</f>
        <v>8757</v>
      </c>
      <c r="F19" s="10">
        <f>F11*Params!$C$7*(1-Params!$C$3)-Params!$C$4</f>
        <v>11517</v>
      </c>
      <c r="G19" s="10">
        <f>G11*Params!$C$7*(1-Params!$C$3)-Params!$C$4</f>
        <v>9861</v>
      </c>
      <c r="H19" s="10"/>
      <c r="I19" s="10"/>
      <c r="J19" s="10"/>
      <c r="K19" s="10"/>
      <c r="L19" s="10"/>
      <c r="M19" s="10"/>
      <c r="N19" s="10"/>
      <c r="O19" s="4"/>
      <c r="P19" s="41">
        <f>SUM(C19:N19)</f>
        <v>53169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12069</v>
      </c>
      <c r="D21" s="28">
        <f t="shared" si="2"/>
        <v>10965</v>
      </c>
      <c r="E21" s="28">
        <f t="shared" si="2"/>
        <v>8757</v>
      </c>
      <c r="F21" s="28">
        <f t="shared" si="2"/>
        <v>11517</v>
      </c>
      <c r="G21" s="28">
        <f t="shared" si="2"/>
        <v>9861</v>
      </c>
      <c r="H21" s="28">
        <f t="shared" si="2"/>
        <v>0</v>
      </c>
      <c r="I21" s="28">
        <f t="shared" si="2"/>
        <v>0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SUM(C21:O21)</f>
        <v>53169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5213.87</v>
      </c>
      <c r="D24" s="10">
        <v>5213.87</v>
      </c>
      <c r="E24" s="10">
        <v>4742.91</v>
      </c>
      <c r="F24" s="10">
        <v>5213.87</v>
      </c>
      <c r="G24" s="10">
        <v>4744.24</v>
      </c>
      <c r="H24" s="10"/>
      <c r="I24" s="10"/>
      <c r="J24" s="10"/>
      <c r="K24" s="10"/>
      <c r="L24" s="10"/>
      <c r="M24" s="10"/>
      <c r="N24" s="10"/>
      <c r="O24" s="4"/>
      <c r="P24" s="43">
        <f t="shared" ref="P24:P31" si="3">SUM(C24:N24)</f>
        <v>25128.760000000002</v>
      </c>
    </row>
    <row r="25" spans="2:16" x14ac:dyDescent="0.3">
      <c r="B25" s="9" t="s">
        <v>45</v>
      </c>
      <c r="C25" s="65">
        <f>(6462.87/5)*(1-9.7%)</f>
        <v>1167.1943220000001</v>
      </c>
      <c r="D25" s="65">
        <f>(6462.87/5)*(1-9.7%)</f>
        <v>1167.1943220000001</v>
      </c>
      <c r="E25" s="65">
        <f>(5885/5)*(1-9.7%)</f>
        <v>1062.8310000000001</v>
      </c>
      <c r="F25" s="65">
        <f>(6462.87/5)*(1-9.7%)</f>
        <v>1167.1943220000001</v>
      </c>
      <c r="G25" s="65">
        <f>(5885/5)*(1-9.7%)</f>
        <v>1062.8310000000001</v>
      </c>
      <c r="H25" s="65"/>
      <c r="I25" s="65"/>
      <c r="J25" s="65"/>
      <c r="K25" s="65"/>
      <c r="L25" s="65"/>
      <c r="M25" s="65"/>
      <c r="N25" s="65"/>
      <c r="O25" s="4"/>
      <c r="P25" s="43">
        <f t="shared" si="3"/>
        <v>5627.2449660000002</v>
      </c>
    </row>
    <row r="26" spans="2:16" x14ac:dyDescent="0.3">
      <c r="B26" s="66" t="s">
        <v>46</v>
      </c>
      <c r="C26" s="67">
        <f>(6462.87/5)*9.7%</f>
        <v>125.379678</v>
      </c>
      <c r="D26" s="67">
        <f>(6462.87/5)*9.7%</f>
        <v>125.379678</v>
      </c>
      <c r="E26" s="67">
        <f>(5885/5)*9.7%</f>
        <v>114.16899999999998</v>
      </c>
      <c r="F26" s="67">
        <f>(6462.87/5)*9.7%</f>
        <v>125.379678</v>
      </c>
      <c r="G26" s="67">
        <f>(5885/5)*9.7%</f>
        <v>114.16899999999998</v>
      </c>
      <c r="H26" s="67"/>
      <c r="I26" s="67"/>
      <c r="J26" s="67"/>
      <c r="K26" s="67"/>
      <c r="L26" s="67"/>
      <c r="M26" s="67"/>
      <c r="N26" s="67"/>
      <c r="O26" s="4"/>
      <c r="P26" s="43">
        <f t="shared" si="3"/>
        <v>604.477034</v>
      </c>
    </row>
    <row r="27" spans="2:16" x14ac:dyDescent="0.3">
      <c r="B27" s="66" t="s">
        <v>47</v>
      </c>
      <c r="C27" s="67">
        <f>C25*0.02</f>
        <v>23.343886440000002</v>
      </c>
      <c r="D27" s="67">
        <f>D25*0.02</f>
        <v>23.343886440000002</v>
      </c>
      <c r="E27" s="67">
        <f>E25*0.02</f>
        <v>21.256620000000002</v>
      </c>
      <c r="F27" s="67">
        <f>F25*0.02</f>
        <v>23.343886440000002</v>
      </c>
      <c r="G27" s="67">
        <f>G25*0.02</f>
        <v>21.256620000000002</v>
      </c>
      <c r="H27" s="67"/>
      <c r="I27" s="67"/>
      <c r="J27" s="67"/>
      <c r="K27" s="67"/>
      <c r="L27" s="67"/>
      <c r="M27" s="67"/>
      <c r="N27" s="67"/>
      <c r="O27" s="4"/>
      <c r="P27" s="43">
        <f t="shared" si="3"/>
        <v>112.54489932000001</v>
      </c>
    </row>
    <row r="28" spans="2:16" x14ac:dyDescent="0.3">
      <c r="B28" s="9" t="s">
        <v>8</v>
      </c>
      <c r="C28" s="10">
        <f>1249+2719.31</f>
        <v>3968.31</v>
      </c>
      <c r="D28" s="10">
        <f>1249+2718.02</f>
        <v>3967.02</v>
      </c>
      <c r="E28" s="10">
        <f>1142.09+2481.13</f>
        <v>3623.2200000000003</v>
      </c>
      <c r="F28" s="10">
        <f>1249+2708.68</f>
        <v>3957.68</v>
      </c>
      <c r="G28" s="10">
        <f>1140.76+2471.18</f>
        <v>3611.9399999999996</v>
      </c>
      <c r="H28" s="10"/>
      <c r="I28" s="10"/>
      <c r="J28" s="10"/>
      <c r="K28" s="10"/>
      <c r="L28" s="10"/>
      <c r="M28" s="10"/>
      <c r="N28" s="10"/>
      <c r="O28" s="4"/>
      <c r="P28" s="43">
        <f t="shared" si="3"/>
        <v>19128.169999999998</v>
      </c>
    </row>
    <row r="29" spans="2:16" x14ac:dyDescent="0.3">
      <c r="B29" s="55" t="s">
        <v>52</v>
      </c>
      <c r="C29" s="10"/>
      <c r="D29" s="10"/>
      <c r="E29" s="10"/>
      <c r="F29" s="10"/>
      <c r="G29" s="10">
        <v>186.03</v>
      </c>
      <c r="H29" s="10"/>
      <c r="I29" s="10"/>
      <c r="J29" s="10"/>
      <c r="K29" s="10"/>
      <c r="L29" s="10"/>
      <c r="M29" s="10"/>
      <c r="N29" s="10"/>
      <c r="O29" s="4"/>
      <c r="P29" s="43"/>
    </row>
    <row r="30" spans="2:16" x14ac:dyDescent="0.3">
      <c r="B30" s="55" t="s">
        <v>40</v>
      </c>
      <c r="C30" s="10">
        <v>379.75200000000001</v>
      </c>
      <c r="D30" s="10">
        <v>354.32</v>
      </c>
      <c r="E30" s="10">
        <v>303.45600000000002</v>
      </c>
      <c r="F30" s="10">
        <v>367.04</v>
      </c>
      <c r="G30" s="10">
        <v>328.89</v>
      </c>
      <c r="H30" s="10"/>
      <c r="I30" s="10"/>
      <c r="J30" s="10"/>
      <c r="K30" s="10"/>
      <c r="L30" s="10"/>
      <c r="M30" s="10"/>
      <c r="N30" s="10"/>
      <c r="O30" s="4"/>
      <c r="P30" s="43">
        <f t="shared" si="3"/>
        <v>1733.4580000000001</v>
      </c>
    </row>
    <row r="31" spans="2:16" x14ac:dyDescent="0.3">
      <c r="B31" s="8" t="s">
        <v>3</v>
      </c>
      <c r="C31" s="44">
        <f t="shared" ref="C31:N31" si="4">SUM(C24:C30)</f>
        <v>10877.849886440001</v>
      </c>
      <c r="D31" s="44">
        <f t="shared" si="4"/>
        <v>10851.127886439999</v>
      </c>
      <c r="E31" s="44">
        <f t="shared" si="4"/>
        <v>9867.8426200000013</v>
      </c>
      <c r="F31" s="44">
        <f t="shared" si="4"/>
        <v>10854.50788644</v>
      </c>
      <c r="G31" s="44">
        <f t="shared" si="4"/>
        <v>10069.35662</v>
      </c>
      <c r="H31" s="44">
        <f t="shared" si="4"/>
        <v>0</v>
      </c>
      <c r="I31" s="44">
        <f t="shared" si="4"/>
        <v>0</v>
      </c>
      <c r="J31" s="44">
        <f t="shared" si="4"/>
        <v>0</v>
      </c>
      <c r="K31" s="44">
        <f t="shared" si="4"/>
        <v>0</v>
      </c>
      <c r="L31" s="44">
        <f t="shared" si="4"/>
        <v>0</v>
      </c>
      <c r="M31" s="44">
        <f t="shared" si="4"/>
        <v>0</v>
      </c>
      <c r="N31" s="44">
        <f t="shared" si="4"/>
        <v>0</v>
      </c>
      <c r="O31" s="4"/>
      <c r="P31" s="60">
        <f t="shared" si="3"/>
        <v>52520.684899319996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C21-C31</f>
        <v>1191.1501135599992</v>
      </c>
      <c r="D33" s="47">
        <f t="shared" si="5"/>
        <v>113.8721135600008</v>
      </c>
      <c r="E33" s="47">
        <f t="shared" si="5"/>
        <v>-1110.8426200000013</v>
      </c>
      <c r="F33" s="47">
        <f t="shared" si="5"/>
        <v>662.49211355999978</v>
      </c>
      <c r="G33" s="47">
        <f t="shared" si="5"/>
        <v>-208.35662000000048</v>
      </c>
      <c r="H33" s="47">
        <f t="shared" si="5"/>
        <v>0</v>
      </c>
      <c r="I33" s="47">
        <f t="shared" si="5"/>
        <v>0</v>
      </c>
      <c r="J33" s="47">
        <f t="shared" si="5"/>
        <v>0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59">
        <f>SUM(C33:O33)</f>
        <v>648.31510067999807</v>
      </c>
    </row>
    <row r="35" spans="2:16" x14ac:dyDescent="0.3">
      <c r="B35" s="62" t="s">
        <v>37</v>
      </c>
      <c r="C35" s="54">
        <v>748</v>
      </c>
      <c r="D35" s="54">
        <v>680</v>
      </c>
      <c r="E35" s="54">
        <v>544</v>
      </c>
      <c r="F35" s="54">
        <v>714</v>
      </c>
      <c r="G35" s="54">
        <v>612</v>
      </c>
      <c r="H35" s="54"/>
      <c r="I35" s="54"/>
      <c r="J35" s="54"/>
      <c r="K35" s="54"/>
      <c r="L35" s="54"/>
      <c r="M35" s="54"/>
      <c r="N35" s="54"/>
      <c r="P35" s="61">
        <f>SUM(C35:N35)</f>
        <v>3298</v>
      </c>
    </row>
    <row r="36" spans="2:16" x14ac:dyDescent="0.3">
      <c r="B36" s="62" t="s">
        <v>38</v>
      </c>
      <c r="C36" s="54">
        <v>379.75200000000001</v>
      </c>
      <c r="D36" s="54">
        <v>354.32</v>
      </c>
      <c r="E36" s="54">
        <v>303.45600000000002</v>
      </c>
      <c r="F36" s="54">
        <v>367.04</v>
      </c>
      <c r="G36" s="54">
        <v>328.89</v>
      </c>
      <c r="H36" s="54"/>
      <c r="I36" s="54"/>
      <c r="J36" s="54"/>
      <c r="K36" s="54"/>
      <c r="L36" s="54"/>
      <c r="M36" s="54"/>
      <c r="N36" s="54"/>
      <c r="P36" s="61">
        <f>SUM(C36:N36)</f>
        <v>1733.4580000000001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520</v>
      </c>
    </row>
    <row r="6" spans="2:3" ht="29.25" customHeight="1" x14ac:dyDescent="0.3">
      <c r="B6" s="64" t="s">
        <v>44</v>
      </c>
      <c r="C6" s="33">
        <v>570</v>
      </c>
    </row>
    <row r="7" spans="2:3" x14ac:dyDescent="0.3">
      <c r="B7" s="64" t="s">
        <v>49</v>
      </c>
      <c r="C7" s="68">
        <v>600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B33" sqref="B3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'2023'!P27+'2024'!P27+'2025'!P33</f>
        <v>11987.179100680001</v>
      </c>
    </row>
    <row r="4" spans="2:3" ht="16.95" customHeight="1" x14ac:dyDescent="0.3">
      <c r="B4" s="38" t="s">
        <v>39</v>
      </c>
      <c r="C4" s="40">
        <f>'2023'!P12+'2024'!P12+'2025'!P12</f>
        <v>7</v>
      </c>
    </row>
    <row r="5" spans="2:3" x14ac:dyDescent="0.3">
      <c r="B5" t="s">
        <v>48</v>
      </c>
      <c r="C5">
        <f>(6*2.08)+(17*1)-C4</f>
        <v>22.48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108</vt:i4>
      </vt:variant>
    </vt:vector>
  </HeadingPairs>
  <TitlesOfParts>
    <vt:vector size="113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'2025'!SORTIES_FRAIS_PEE_AMUNDI</vt:lpstr>
      <vt:lpstr>SORTIES_INTERESSEMENT_NET</vt:lpstr>
      <vt:lpstr>SORTIES_INTERESSMENET_CSG_CRDS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2025-06-09T11:53:50Z</dcterms:modified>
</cp:coreProperties>
</file>