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5\"/>
    </mc:Choice>
  </mc:AlternateContent>
  <xr:revisionPtr revIDLastSave="0" documentId="13_ncr:1_{E6E19D5A-3F0A-49E2-A9BF-BEB43C572C68}" xr6:coauthVersionLast="47" xr6:coauthVersionMax="47" xr10:uidLastSave="{00000000-0000-0000-0000-000000000000}"/>
  <bookViews>
    <workbookView xWindow="-108" yWindow="-108" windowWidth="23256" windowHeight="14856" activeTab="1" xr2:uid="{00000000-000D-0000-FFFF-FFFF00000000}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'2024'!$B$15</definedName>
    <definedName name="CRA_ASTREINTE" localSheetId="2">'2025'!$B$14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 localSheetId="2">'2025'!$B$13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'2024'!$B$17</definedName>
    <definedName name="ENTREES" localSheetId="2">'2025'!$B$16</definedName>
    <definedName name="ENTREES">#REF!</definedName>
    <definedName name="ENTREES_ASTREINTE" localSheetId="0">'2023'!$B$18</definedName>
    <definedName name="ENTREES_ASTREINTE" localSheetId="1">'2024'!$B$19</definedName>
    <definedName name="ENTREES_ASTREINTE" localSheetId="2">'2025'!$B$18</definedName>
    <definedName name="ENTREES_ASTREINTE">#REF!</definedName>
    <definedName name="ENTREES_FACTURE" localSheetId="0">'2023'!$B$17</definedName>
    <definedName name="ENTREES_FACTURE" localSheetId="1">'2024'!$B$18</definedName>
    <definedName name="ENTREES_FACTURE" localSheetId="2">'2025'!$B$17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'2023'!#REF!</definedName>
    <definedName name="FRAIS_KM" localSheetId="1">'2024'!#REF!</definedName>
    <definedName name="FRAIS_KM" localSheetId="2">'2025'!#REF!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'2023'!#REF!</definedName>
    <definedName name="NOMBRE_KM" localSheetId="1">'2024'!#REF!</definedName>
    <definedName name="NOMBRE_KM" localSheetId="2">'2025'!#REF!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'2023'!$B$27</definedName>
    <definedName name="SOLDE" localSheetId="1">'2024'!$B$31</definedName>
    <definedName name="SOLDE" localSheetId="2">'2025'!$B$29</definedName>
    <definedName name="SORTIES" localSheetId="0">'2023'!$B$21</definedName>
    <definedName name="SORTIES" localSheetId="1">'2024'!$B$22</definedName>
    <definedName name="SORTIES" localSheetId="2">'2025'!$B$21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'2024'!$B$24</definedName>
    <definedName name="SORTIES_CHARGES_SOCIALES_PATRONALES" localSheetId="2">'2025'!$B$23</definedName>
    <definedName name="SORTIES_CHARGES_SOCIALES_PATRONALES">#REF!</definedName>
    <definedName name="SORTIES_FRAIS_KM" localSheetId="0">'2023'!#REF!</definedName>
    <definedName name="SORTIES_FRAIS_KM" localSheetId="1">'2024'!#REF!</definedName>
    <definedName name="SORTIES_FRAIS_KM" localSheetId="2">'2025'!#REF!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'2023'!$B$22</definedName>
    <definedName name="SORTIES_SALAIRE_NET" localSheetId="1">'2024'!$B$23</definedName>
    <definedName name="SORTIES_SALAIRE_NET" localSheetId="2">'2025'!$B$22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'2024'!$B$20</definedName>
    <definedName name="TOTAL_ENTREES" localSheetId="2">'2025'!$B$19</definedName>
    <definedName name="TOTAL_ENTREES">#REF!</definedName>
    <definedName name="TOTAL_SORTIES" localSheetId="0">'2023'!$B$25</definedName>
    <definedName name="TOTAL_SORTIES" localSheetId="1">'2024'!$B$27</definedName>
    <definedName name="TOTAL_SORTIES" localSheetId="2">'2025'!$B$25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G23" i="16" l="1"/>
  <c r="G17" i="16"/>
  <c r="F23" i="16" l="1"/>
  <c r="F17" i="16"/>
  <c r="P27" i="16" l="1"/>
  <c r="N25" i="16"/>
  <c r="M25" i="16"/>
  <c r="L25" i="16"/>
  <c r="K25" i="16"/>
  <c r="J25" i="16"/>
  <c r="I25" i="16"/>
  <c r="H25" i="16"/>
  <c r="G25" i="16"/>
  <c r="F25" i="16"/>
  <c r="P24" i="16"/>
  <c r="E23" i="16"/>
  <c r="E25" i="16" s="1"/>
  <c r="D23" i="16"/>
  <c r="D25" i="16" s="1"/>
  <c r="C23" i="16"/>
  <c r="C25" i="16" s="1"/>
  <c r="P22" i="16"/>
  <c r="N19" i="16"/>
  <c r="M19" i="16"/>
  <c r="M29" i="16" s="1"/>
  <c r="L19" i="16"/>
  <c r="L29" i="16" s="1"/>
  <c r="K19" i="16"/>
  <c r="K29" i="16" s="1"/>
  <c r="J19" i="16"/>
  <c r="I19" i="16"/>
  <c r="I29" i="16" s="1"/>
  <c r="H19" i="16"/>
  <c r="H29" i="16" s="1"/>
  <c r="G19" i="16"/>
  <c r="F19" i="16"/>
  <c r="P18" i="16"/>
  <c r="E17" i="16"/>
  <c r="E19" i="16" s="1"/>
  <c r="D17" i="16"/>
  <c r="D19" i="16" s="1"/>
  <c r="C17" i="16"/>
  <c r="C19" i="16" s="1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P29" i="15"/>
  <c r="H27" i="15"/>
  <c r="G27" i="15"/>
  <c r="P26" i="15"/>
  <c r="P25" i="15"/>
  <c r="N24" i="15"/>
  <c r="N27" i="15" s="1"/>
  <c r="M24" i="15"/>
  <c r="M27" i="15" s="1"/>
  <c r="L24" i="15"/>
  <c r="L27" i="15" s="1"/>
  <c r="K24" i="15"/>
  <c r="K27" i="15" s="1"/>
  <c r="J24" i="15"/>
  <c r="J27" i="15" s="1"/>
  <c r="I24" i="15"/>
  <c r="I27" i="15" s="1"/>
  <c r="H24" i="15"/>
  <c r="G24" i="15"/>
  <c r="F24" i="15"/>
  <c r="F27" i="15" s="1"/>
  <c r="E24" i="15"/>
  <c r="E27" i="15" s="1"/>
  <c r="D24" i="15"/>
  <c r="D27" i="15" s="1"/>
  <c r="C24" i="15"/>
  <c r="C27" i="15" s="1"/>
  <c r="P23" i="15"/>
  <c r="M20" i="15"/>
  <c r="M31" i="15" s="1"/>
  <c r="P19" i="15"/>
  <c r="N18" i="15"/>
  <c r="N20" i="15" s="1"/>
  <c r="M18" i="15"/>
  <c r="L18" i="15"/>
  <c r="L20" i="15" s="1"/>
  <c r="K18" i="15"/>
  <c r="K20" i="15" s="1"/>
  <c r="J18" i="15"/>
  <c r="J20" i="15" s="1"/>
  <c r="I18" i="15"/>
  <c r="I20" i="15" s="1"/>
  <c r="H18" i="15"/>
  <c r="H20" i="15" s="1"/>
  <c r="G18" i="15"/>
  <c r="G20" i="15" s="1"/>
  <c r="G31" i="15" s="1"/>
  <c r="F18" i="15"/>
  <c r="F20" i="15" s="1"/>
  <c r="F31" i="15" s="1"/>
  <c r="E18" i="15"/>
  <c r="E20" i="15" s="1"/>
  <c r="E31" i="15" s="1"/>
  <c r="D18" i="15"/>
  <c r="D20" i="15" s="1"/>
  <c r="C18" i="15"/>
  <c r="C20" i="15" s="1"/>
  <c r="P15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D27" i="14"/>
  <c r="J25" i="14"/>
  <c r="D25" i="14"/>
  <c r="C25" i="14"/>
  <c r="C27" i="14" s="1"/>
  <c r="P24" i="14"/>
  <c r="N23" i="14"/>
  <c r="N25" i="14" s="1"/>
  <c r="M23" i="14"/>
  <c r="M25" i="14" s="1"/>
  <c r="L23" i="14"/>
  <c r="L25" i="14" s="1"/>
  <c r="K23" i="14"/>
  <c r="K25" i="14" s="1"/>
  <c r="J23" i="14"/>
  <c r="I23" i="14"/>
  <c r="I25" i="14" s="1"/>
  <c r="H23" i="14"/>
  <c r="H25" i="14" s="1"/>
  <c r="G23" i="14"/>
  <c r="G25" i="14" s="1"/>
  <c r="F23" i="14"/>
  <c r="F25" i="14" s="1"/>
  <c r="E23" i="14"/>
  <c r="E25" i="14" s="1"/>
  <c r="P22" i="14"/>
  <c r="L19" i="14"/>
  <c r="G19" i="14"/>
  <c r="G27" i="14" s="1"/>
  <c r="D19" i="14"/>
  <c r="C19" i="14"/>
  <c r="P18" i="14"/>
  <c r="N17" i="14"/>
  <c r="N19" i="14" s="1"/>
  <c r="N27" i="14" s="1"/>
  <c r="M17" i="14"/>
  <c r="M19" i="14" s="1"/>
  <c r="L17" i="14"/>
  <c r="K17" i="14"/>
  <c r="K19" i="14" s="1"/>
  <c r="J17" i="14"/>
  <c r="J19" i="14" s="1"/>
  <c r="J27" i="14" s="1"/>
  <c r="I17" i="14"/>
  <c r="I19" i="14" s="1"/>
  <c r="H17" i="14"/>
  <c r="H19" i="14" s="1"/>
  <c r="G17" i="14"/>
  <c r="F17" i="14"/>
  <c r="F19" i="14" s="1"/>
  <c r="E17" i="14"/>
  <c r="P14" i="14"/>
  <c r="P13" i="14"/>
  <c r="P12" i="14"/>
  <c r="C4" i="13" s="1"/>
  <c r="C5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L31" i="15" l="1"/>
  <c r="D31" i="15"/>
  <c r="P8" i="14"/>
  <c r="I27" i="14"/>
  <c r="P17" i="16"/>
  <c r="J29" i="16"/>
  <c r="H31" i="15"/>
  <c r="P23" i="16"/>
  <c r="P25" i="14"/>
  <c r="P17" i="14"/>
  <c r="M27" i="14"/>
  <c r="K27" i="14"/>
  <c r="P8" i="15"/>
  <c r="J31" i="15"/>
  <c r="N31" i="15"/>
  <c r="L27" i="14"/>
  <c r="N29" i="16"/>
  <c r="P27" i="15"/>
  <c r="H27" i="14"/>
  <c r="I31" i="15"/>
  <c r="G29" i="16"/>
  <c r="F29" i="16"/>
  <c r="P8" i="16"/>
  <c r="D29" i="16"/>
  <c r="E29" i="16"/>
  <c r="F27" i="14"/>
  <c r="P20" i="15"/>
  <c r="C31" i="15"/>
  <c r="K31" i="15"/>
  <c r="P19" i="16"/>
  <c r="C29" i="16"/>
  <c r="P25" i="16"/>
  <c r="P24" i="15"/>
  <c r="E19" i="14"/>
  <c r="E27" i="14" s="1"/>
  <c r="P23" i="14"/>
  <c r="P18" i="15"/>
  <c r="P27" i="14" l="1"/>
  <c r="P19" i="14"/>
  <c r="P31" i="15"/>
  <c r="P29" i="16"/>
  <c r="C3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E2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Remboursement de 200Euros/mois a partir de Mars</t>
        </r>
      </text>
    </comment>
  </commentList>
</comments>
</file>

<file path=xl/sharedStrings.xml><?xml version="1.0" encoding="utf-8"?>
<sst xmlns="http://schemas.openxmlformats.org/spreadsheetml/2006/main" count="115" uniqueCount="45">
  <si>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</si>
  <si>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</si>
  <si>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</si>
  <si>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</si>
  <si>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</si>
  <si>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</si>
  <si>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</si>
  <si>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</si>
  <si>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</si>
  <si>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</si>
  <si>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</si>
  <si>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</si>
  <si>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</si>
  <si>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</si>
  <si>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</si>
  <si>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</si>
  <si>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</si>
  <si>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</si>
  <si>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</si>
  <si>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</si>
  <si>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</si>
  <si>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</si>
  <si>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</si>
  <si>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</si>
  <si>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</si>
  <si>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</si>
  <si>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</si>
  <si>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</si>
  <si>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</si>
  <si>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</si>
  <si>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</si>
  <si>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</si>
  <si>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</si>
  <si>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</si>
  <si>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</si>
  <si>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</si>
  <si>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</si>
  <si>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Total Congés Payés Pris</t>
  </si>
  <si>
    <t>TJM (Mars 2022)</t>
  </si>
  <si>
    <t>Frais Achat</t>
  </si>
  <si>
    <t>Paternité</t>
  </si>
  <si>
    <t>TJM (Février 2024)</t>
  </si>
  <si>
    <t>Acompte Remboursé</t>
  </si>
  <si>
    <t>Acompte versé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</si>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</sst>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0" fillId="2" borderId="2" xfId="0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0" fillId="7" borderId="2" xfId="0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2" xfId="0" applyFill="1" applyBorder="1"/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4" fontId="0" fillId="3" borderId="2" xfId="0" applyNumberForma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4" xfId="0" applyNumberFormat="1" applyFont="1" applyFill="1" applyBorder="1"/>
    <xf numFmtId="1" fontId="1" fillId="0" borderId="0" xfId="0" applyNumberFormat="1" applyFont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5" xfId="0" applyNumberFormat="1" applyFont="1" applyFill="1" applyBorder="1" applyAlignment="1">
      <alignment horizontal="center" vertical="center"/>
    </xf>
    <xf numFmtId="1" fontId="9" fillId="0" borderId="9" xfId="0" applyNumberFormat="1" applyFont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0" fillId="0" borderId="12" xfId="0" applyBorder="1" applyProtection="1">
      <protection locked="0"/>
    </xf>
    <xf numFmtId="0" fontId="0" fillId="0" borderId="12" xfId="0" applyBorder="1"/>
    <xf numFmtId="0" fontId="1" fillId="9" borderId="0" xfId="0" applyFont="1" applyFill="1" applyAlignment="1">
      <alignment vertical="center"/>
    </xf>
    <xf numFmtId="0" fontId="0" fillId="11" borderId="1" xfId="0" applyFill="1" applyBorder="1" applyProtection="1">
      <protection locked="0"/>
    </xf>
    <xf numFmtId="0" fontId="0" fillId="11" borderId="1" xfId="0" applyFill="1" applyBorder="1"/>
    <xf numFmtId="0" fontId="1" fillId="11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4" fontId="4" fillId="12" borderId="4" xfId="0" applyNumberFormat="1" applyFont="1" applyFill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7"/>
  <sheetViews>
    <sheetView topLeftCell="A2" workbookViewId="0">
      <selection activeCell="N17" sqref="N17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8" t="s">
        <v>9</v>
      </c>
    </row>
    <row r="2" spans="2:16" x14ac:dyDescent="0.3">
      <c r="B2" s="6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4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5">
        <f>SUM(C6:N6)</f>
        <v>190</v>
      </c>
    </row>
    <row r="7" spans="2:16" x14ac:dyDescent="0.3">
      <c r="B7" s="9" t="s">
        <v>21</v>
      </c>
      <c r="C7" s="37"/>
      <c r="D7" s="37"/>
      <c r="E7" s="37">
        <v>23</v>
      </c>
      <c r="F7" s="37">
        <v>19</v>
      </c>
      <c r="G7" s="37">
        <v>19</v>
      </c>
      <c r="H7" s="37">
        <v>22</v>
      </c>
      <c r="I7" s="37">
        <v>10</v>
      </c>
      <c r="J7" s="37">
        <v>16</v>
      </c>
      <c r="K7" s="37">
        <v>20</v>
      </c>
      <c r="L7" s="37">
        <v>22</v>
      </c>
      <c r="M7" s="37">
        <v>19</v>
      </c>
      <c r="N7" s="37">
        <v>29.5</v>
      </c>
      <c r="O7" s="36"/>
      <c r="P7" s="55">
        <f>SUM(C7:N7)</f>
        <v>199.5</v>
      </c>
    </row>
    <row r="8" spans="2:16" x14ac:dyDescent="0.3">
      <c r="B8" s="18" t="s">
        <v>22</v>
      </c>
      <c r="C8" s="59">
        <f t="shared" ref="C8:N8" si="0">C7-C6</f>
        <v>0</v>
      </c>
      <c r="D8" s="59">
        <f t="shared" si="0"/>
        <v>0</v>
      </c>
      <c r="E8" s="59">
        <f t="shared" si="0"/>
        <v>4</v>
      </c>
      <c r="F8" s="59">
        <f t="shared" si="0"/>
        <v>0</v>
      </c>
      <c r="G8" s="59">
        <f t="shared" si="0"/>
        <v>0</v>
      </c>
      <c r="H8" s="59">
        <f t="shared" si="0"/>
        <v>3</v>
      </c>
      <c r="I8" s="59">
        <f t="shared" si="0"/>
        <v>-9</v>
      </c>
      <c r="J8" s="59">
        <f t="shared" si="0"/>
        <v>-3</v>
      </c>
      <c r="K8" s="59">
        <f t="shared" si="0"/>
        <v>1</v>
      </c>
      <c r="L8" s="59">
        <f t="shared" si="0"/>
        <v>3</v>
      </c>
      <c r="M8" s="59">
        <f t="shared" si="0"/>
        <v>0</v>
      </c>
      <c r="N8" s="59">
        <f t="shared" si="0"/>
        <v>10.5</v>
      </c>
      <c r="O8" s="36"/>
      <c r="P8" s="55">
        <f>SUM(C8:N8)</f>
        <v>9.5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4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>
        <v>23</v>
      </c>
      <c r="F11" s="11">
        <v>19</v>
      </c>
      <c r="G11" s="11">
        <v>19</v>
      </c>
      <c r="H11" s="11">
        <v>21.5</v>
      </c>
      <c r="I11" s="11">
        <v>9.5</v>
      </c>
      <c r="J11" s="11">
        <v>16</v>
      </c>
      <c r="K11" s="11">
        <v>20.5</v>
      </c>
      <c r="L11" s="11">
        <v>22</v>
      </c>
      <c r="M11" s="11">
        <v>19</v>
      </c>
      <c r="N11" s="11">
        <v>29.5</v>
      </c>
      <c r="P11" s="56">
        <f>SUM(C11:N11)</f>
        <v>199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>
        <v>0.5</v>
      </c>
      <c r="I12" s="12">
        <v>10.5</v>
      </c>
      <c r="J12" s="12">
        <v>0</v>
      </c>
      <c r="K12" s="12">
        <v>0.5</v>
      </c>
      <c r="L12" s="12"/>
      <c r="M12" s="12">
        <v>2</v>
      </c>
      <c r="N12" s="12"/>
      <c r="P12" s="56">
        <f>SUM(C12:N12)</f>
        <v>13.5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>
        <v>6</v>
      </c>
      <c r="K13" s="12"/>
      <c r="L13" s="12"/>
      <c r="M13" s="12"/>
      <c r="N13" s="12"/>
      <c r="P13" s="56">
        <f>SUM(C13:N13)</f>
        <v>6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6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>
        <f>E11*Params!$C$5*(1-Params!$C$3)-Params!$C$4</f>
        <v>10716.6</v>
      </c>
      <c r="F17" s="10">
        <f>F11*Params!$C$5*(1-Params!$C$3)-Params!$C$4</f>
        <v>8839.8000000000011</v>
      </c>
      <c r="G17" s="10">
        <f>G11*Params!$C$5*(1-Params!$C$3)-Params!$C$4</f>
        <v>8839.8000000000011</v>
      </c>
      <c r="H17" s="10">
        <f>H11*Params!$C$5*(1-Params!$C$3)-Params!$C$4</f>
        <v>10012.800000000001</v>
      </c>
      <c r="I17" s="10">
        <f>I11*Params!$C$5*(1-Params!$C$3)-Params!$C$4</f>
        <v>4382.4000000000005</v>
      </c>
      <c r="J17" s="10">
        <f>J11*Params!$C$5*(1-Params!$C$3)-Params!$C$4</f>
        <v>7432.2000000000007</v>
      </c>
      <c r="K17" s="10">
        <f>K11*Params!$C$5*(1-Params!$C$3)-Params!$C$4</f>
        <v>9543.6</v>
      </c>
      <c r="L17" s="10">
        <f>L11*Params!$C$5*(1-Params!$C$3)-Params!$C$4</f>
        <v>10247.4</v>
      </c>
      <c r="M17" s="10">
        <f>M11*Params!$C$5*(1-Params!$C$3)-Params!$C$4</f>
        <v>8839.8000000000011</v>
      </c>
      <c r="N17" s="10">
        <f>N11*Params!$C$5*(1-Params!$C$3)-Params!$C$4</f>
        <v>13766.400000000001</v>
      </c>
      <c r="O17" s="4"/>
      <c r="P17" s="41">
        <f>SUM(C17:N17)</f>
        <v>92620.800000000017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10716.6</v>
      </c>
      <c r="F19" s="28">
        <f t="shared" si="1"/>
        <v>8839.8000000000011</v>
      </c>
      <c r="G19" s="28">
        <f t="shared" si="1"/>
        <v>8839.8000000000011</v>
      </c>
      <c r="H19" s="28">
        <f t="shared" si="1"/>
        <v>10012.800000000001</v>
      </c>
      <c r="I19" s="28">
        <f t="shared" si="1"/>
        <v>4382.4000000000005</v>
      </c>
      <c r="J19" s="28">
        <f t="shared" si="1"/>
        <v>7432.2000000000007</v>
      </c>
      <c r="K19" s="28">
        <f t="shared" si="1"/>
        <v>9543.6</v>
      </c>
      <c r="L19" s="28">
        <f t="shared" si="1"/>
        <v>10247.4</v>
      </c>
      <c r="M19" s="28">
        <f t="shared" si="1"/>
        <v>8839.8000000000011</v>
      </c>
      <c r="N19" s="28">
        <f t="shared" si="1"/>
        <v>13766.400000000001</v>
      </c>
      <c r="O19" s="5"/>
      <c r="P19" s="42">
        <f>SUM(C19:N19)</f>
        <v>92620.800000000017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>
        <v>5616.6</v>
      </c>
      <c r="F22" s="10">
        <v>5616.6</v>
      </c>
      <c r="G22" s="10">
        <v>5616.6</v>
      </c>
      <c r="H22" s="10">
        <v>5616.6</v>
      </c>
      <c r="I22" s="10">
        <v>5616.6</v>
      </c>
      <c r="J22" s="10">
        <v>4453.5</v>
      </c>
      <c r="K22" s="10">
        <v>5616.6</v>
      </c>
      <c r="L22" s="10">
        <v>5616.6</v>
      </c>
      <c r="M22" s="10">
        <v>5616.6</v>
      </c>
      <c r="N22" s="10">
        <v>5616.6</v>
      </c>
      <c r="O22" s="4"/>
      <c r="P22" s="43">
        <f>SUM(C22:N22)</f>
        <v>55002.899999999994</v>
      </c>
    </row>
    <row r="23" spans="2:16" x14ac:dyDescent="0.3">
      <c r="B23" s="9" t="s">
        <v>8</v>
      </c>
      <c r="C23" s="10"/>
      <c r="D23" s="10"/>
      <c r="E23" s="10">
        <f>1097.26+1858.79</f>
        <v>2956.05</v>
      </c>
      <c r="F23" s="10">
        <f>1097.26+1858.79</f>
        <v>2956.05</v>
      </c>
      <c r="G23" s="10">
        <f>1097.26+1861.46</f>
        <v>2958.7200000000003</v>
      </c>
      <c r="H23" s="10">
        <f>1097.26+1860.12</f>
        <v>2957.38</v>
      </c>
      <c r="I23" s="10">
        <f>1097.26+1861.44</f>
        <v>2958.7</v>
      </c>
      <c r="J23" s="10">
        <f>874.61+1510.51</f>
        <v>2385.12</v>
      </c>
      <c r="K23" s="10">
        <f>1097.26+1860.12</f>
        <v>2957.38</v>
      </c>
      <c r="L23" s="10">
        <f>1097.26+1861.44</f>
        <v>2958.7</v>
      </c>
      <c r="M23" s="10">
        <f>1097.26+1860.12</f>
        <v>2957.38</v>
      </c>
      <c r="N23" s="10">
        <f>1097.26+1865.37</f>
        <v>2962.63</v>
      </c>
      <c r="O23" s="4"/>
      <c r="P23" s="43">
        <f>SUM(C23:N23)</f>
        <v>29008.110000000004</v>
      </c>
    </row>
    <row r="24" spans="2:16" x14ac:dyDescent="0.3">
      <c r="B24" s="60" t="s">
        <v>39</v>
      </c>
      <c r="C24" s="61"/>
      <c r="D24" s="61"/>
      <c r="E24" s="61"/>
      <c r="F24" s="61"/>
      <c r="G24" s="61"/>
      <c r="H24" s="61">
        <v>949.17</v>
      </c>
      <c r="I24" s="61"/>
      <c r="J24" s="61"/>
      <c r="K24" s="61"/>
      <c r="L24" s="61"/>
      <c r="M24" s="61"/>
      <c r="N24" s="61"/>
      <c r="O24" s="4"/>
      <c r="P24" s="43">
        <f>SUM(C24:N24)</f>
        <v>949.17</v>
      </c>
    </row>
    <row r="25" spans="2:16" x14ac:dyDescent="0.3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8572.6500000000015</v>
      </c>
      <c r="F25" s="44">
        <f t="shared" si="2"/>
        <v>8572.6500000000015</v>
      </c>
      <c r="G25" s="44">
        <f t="shared" si="2"/>
        <v>8575.32</v>
      </c>
      <c r="H25" s="44">
        <f t="shared" si="2"/>
        <v>9523.15</v>
      </c>
      <c r="I25" s="44">
        <f t="shared" si="2"/>
        <v>8575.2999999999993</v>
      </c>
      <c r="J25" s="44">
        <f t="shared" si="2"/>
        <v>6838.62</v>
      </c>
      <c r="K25" s="44">
        <f t="shared" si="2"/>
        <v>8573.98</v>
      </c>
      <c r="L25" s="44">
        <f t="shared" si="2"/>
        <v>8575.2999999999993</v>
      </c>
      <c r="M25" s="44">
        <f t="shared" si="2"/>
        <v>8573.98</v>
      </c>
      <c r="N25" s="44">
        <f t="shared" si="2"/>
        <v>8579.23</v>
      </c>
      <c r="O25" s="4"/>
      <c r="P25" s="58">
        <f>SUM(C25:N25)</f>
        <v>84960.180000000008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2143.9499999999989</v>
      </c>
      <c r="F27" s="47">
        <f t="shared" si="3"/>
        <v>267.14999999999964</v>
      </c>
      <c r="G27" s="47">
        <f t="shared" si="3"/>
        <v>264.48000000000138</v>
      </c>
      <c r="H27" s="47">
        <f t="shared" si="3"/>
        <v>489.65000000000146</v>
      </c>
      <c r="I27" s="47">
        <f t="shared" si="3"/>
        <v>-4192.8999999999987</v>
      </c>
      <c r="J27" s="47">
        <f t="shared" si="3"/>
        <v>593.58000000000084</v>
      </c>
      <c r="K27" s="47">
        <f t="shared" si="3"/>
        <v>969.6200000000008</v>
      </c>
      <c r="L27" s="47">
        <f t="shared" si="3"/>
        <v>1672.1000000000004</v>
      </c>
      <c r="M27" s="47">
        <f t="shared" si="3"/>
        <v>265.82000000000153</v>
      </c>
      <c r="N27" s="47">
        <f t="shared" si="3"/>
        <v>5187.1700000000019</v>
      </c>
      <c r="P27" s="57">
        <f>SUM(C27:N27)</f>
        <v>7660.6200000000081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1"/>
  <sheetViews>
    <sheetView tabSelected="1" workbookViewId="0">
      <selection activeCell="E26" sqref="E26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8" t="s">
        <v>9</v>
      </c>
    </row>
    <row r="2" spans="2:16" x14ac:dyDescent="0.3">
      <c r="B2" s="6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4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13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5">
        <f>SUM(C6:N6)</f>
        <v>222</v>
      </c>
    </row>
    <row r="7" spans="2:16" x14ac:dyDescent="0.3">
      <c r="B7" s="9" t="s">
        <v>21</v>
      </c>
      <c r="C7" s="37">
        <v>21</v>
      </c>
      <c r="D7" s="37">
        <v>18</v>
      </c>
      <c r="E7" s="37">
        <v>20</v>
      </c>
      <c r="F7" s="37">
        <v>12</v>
      </c>
      <c r="G7" s="37">
        <v>18</v>
      </c>
      <c r="H7" s="37">
        <v>20</v>
      </c>
      <c r="I7" s="37">
        <v>18</v>
      </c>
      <c r="J7" s="37">
        <v>11</v>
      </c>
      <c r="K7" s="37">
        <v>10</v>
      </c>
      <c r="L7" s="37">
        <v>22</v>
      </c>
      <c r="M7" s="37">
        <v>19</v>
      </c>
      <c r="N7" s="37">
        <v>21</v>
      </c>
      <c r="O7" s="36"/>
      <c r="P7" s="55">
        <f>SUM(C7:N7)</f>
        <v>210</v>
      </c>
    </row>
    <row r="8" spans="2:16" x14ac:dyDescent="0.3">
      <c r="B8" s="18" t="s">
        <v>22</v>
      </c>
      <c r="C8" s="59">
        <f t="shared" ref="C8:N8" si="0">C7-C6</f>
        <v>2</v>
      </c>
      <c r="D8" s="59">
        <f t="shared" si="0"/>
        <v>-1</v>
      </c>
      <c r="E8" s="59">
        <f t="shared" si="0"/>
        <v>1</v>
      </c>
      <c r="F8" s="59">
        <f t="shared" si="0"/>
        <v>-7</v>
      </c>
      <c r="G8" s="59">
        <f t="shared" si="0"/>
        <v>-1</v>
      </c>
      <c r="H8" s="59">
        <f t="shared" si="0"/>
        <v>1</v>
      </c>
      <c r="I8" s="59">
        <f t="shared" si="0"/>
        <v>5</v>
      </c>
      <c r="J8" s="59">
        <f t="shared" si="0"/>
        <v>-8</v>
      </c>
      <c r="K8" s="59">
        <f t="shared" si="0"/>
        <v>-9</v>
      </c>
      <c r="L8" s="59">
        <f t="shared" si="0"/>
        <v>3</v>
      </c>
      <c r="M8" s="59">
        <f t="shared" si="0"/>
        <v>0</v>
      </c>
      <c r="N8" s="59">
        <f t="shared" si="0"/>
        <v>2</v>
      </c>
      <c r="O8" s="36"/>
      <c r="P8" s="55">
        <f>SUM(C8:N8)</f>
        <v>-12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4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21</v>
      </c>
      <c r="D11" s="11">
        <v>18</v>
      </c>
      <c r="E11" s="11">
        <v>20</v>
      </c>
      <c r="F11" s="11">
        <v>12.5</v>
      </c>
      <c r="G11" s="11">
        <v>18</v>
      </c>
      <c r="H11" s="11">
        <v>20</v>
      </c>
      <c r="I11" s="11">
        <v>18</v>
      </c>
      <c r="J11" s="11">
        <v>11</v>
      </c>
      <c r="K11" s="11">
        <v>10</v>
      </c>
      <c r="L11" s="11">
        <v>22</v>
      </c>
      <c r="M11" s="11">
        <v>19.5</v>
      </c>
      <c r="N11" s="11">
        <v>21</v>
      </c>
      <c r="P11" s="56">
        <f>SUM(C11:N11)</f>
        <v>211</v>
      </c>
    </row>
    <row r="12" spans="2:16" x14ac:dyDescent="0.3">
      <c r="B12" s="9" t="s">
        <v>16</v>
      </c>
      <c r="C12" s="12">
        <v>0</v>
      </c>
      <c r="D12" s="12">
        <v>1</v>
      </c>
      <c r="E12" s="12">
        <v>1</v>
      </c>
      <c r="F12" s="12">
        <v>0.5</v>
      </c>
      <c r="G12" s="12">
        <v>1</v>
      </c>
      <c r="H12" s="12"/>
      <c r="I12" s="12">
        <v>0</v>
      </c>
      <c r="J12" s="12">
        <v>10</v>
      </c>
      <c r="K12" s="12">
        <v>11</v>
      </c>
      <c r="L12" s="12">
        <v>0.5</v>
      </c>
      <c r="M12" s="12"/>
      <c r="N12" s="12"/>
      <c r="P12" s="56">
        <f>SUM(C12:N12)</f>
        <v>25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6">
        <f>SUM(C13:N13)</f>
        <v>0</v>
      </c>
    </row>
    <row r="14" spans="2:16" x14ac:dyDescent="0.3">
      <c r="B14" s="62" t="s">
        <v>40</v>
      </c>
      <c r="C14" s="63">
        <v>3</v>
      </c>
      <c r="D14" s="63">
        <v>4</v>
      </c>
      <c r="E14" s="63"/>
      <c r="F14" s="63">
        <v>10</v>
      </c>
      <c r="G14" s="63"/>
      <c r="H14" s="63"/>
      <c r="I14" s="63">
        <v>11</v>
      </c>
      <c r="J14" s="63"/>
      <c r="K14" s="63"/>
      <c r="L14" s="63"/>
      <c r="M14" s="63"/>
      <c r="N14" s="63"/>
      <c r="P14" s="56">
        <f>SUM(C14:N14)</f>
        <v>28</v>
      </c>
    </row>
    <row r="15" spans="2:16" x14ac:dyDescent="0.3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6">
        <f>SUM(C15:N15)</f>
        <v>0</v>
      </c>
    </row>
    <row r="16" spans="2:16" x14ac:dyDescent="0.3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1"/>
    </row>
    <row r="17" spans="2:16" x14ac:dyDescent="0.3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2"/>
    </row>
    <row r="18" spans="2:16" x14ac:dyDescent="0.3">
      <c r="B18" s="9" t="s">
        <v>6</v>
      </c>
      <c r="C18" s="10">
        <f>C11*Params!$C$5*(1-Params!$C$3)-Params!$C$4</f>
        <v>9778.2000000000007</v>
      </c>
      <c r="D18" s="10">
        <f>D11*Params!$C$6*(1-Params!$C$3)-Params!$C$4</f>
        <v>8619</v>
      </c>
      <c r="E18" s="10">
        <f>E11*Params!$C$6*(1-Params!$C$3)-Params!$C$4</f>
        <v>9585</v>
      </c>
      <c r="F18" s="10">
        <f>F11*Params!$C$6*(1-Params!$C$3)-Params!$C$4</f>
        <v>5962.5</v>
      </c>
      <c r="G18" s="10">
        <f>G11*Params!$C$6*(1-Params!$C$3)-Params!$C$4</f>
        <v>8619</v>
      </c>
      <c r="H18" s="10">
        <f>H11*Params!$C$6*(1-Params!$C$3)-Params!$C$4</f>
        <v>9585</v>
      </c>
      <c r="I18" s="10">
        <f>I11*Params!$C$6*(1-Params!$C$3)-Params!$C$4</f>
        <v>8619</v>
      </c>
      <c r="J18" s="10">
        <f>J11*Params!$C$6*(1-Params!$C$3)-Params!$C$4</f>
        <v>5238</v>
      </c>
      <c r="K18" s="10">
        <f>K11*Params!$C$6*(1-Params!$C$3)-Params!$C$4</f>
        <v>4755</v>
      </c>
      <c r="L18" s="10">
        <f>L11*Params!$C$6*(1-Params!$C$3)-Params!$C$4</f>
        <v>10551</v>
      </c>
      <c r="M18" s="10">
        <f>M11*Params!$C$6*(1-Params!$C$3)-Params!$C$4</f>
        <v>9343.5</v>
      </c>
      <c r="N18" s="10">
        <f>N11*Params!$C$6*(1-Params!$C$3)-Params!$C$4</f>
        <v>10068</v>
      </c>
      <c r="O18" s="4"/>
      <c r="P18" s="41">
        <f>SUM(C18:N18)</f>
        <v>100723.2</v>
      </c>
    </row>
    <row r="19" spans="2:16" x14ac:dyDescent="0.3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3">
      <c r="B20" s="27" t="s">
        <v>2</v>
      </c>
      <c r="C20" s="28">
        <f t="shared" ref="C20:N20" si="1">SUM(C18:C19)</f>
        <v>9778.2000000000007</v>
      </c>
      <c r="D20" s="28">
        <f t="shared" si="1"/>
        <v>8619</v>
      </c>
      <c r="E20" s="28">
        <f t="shared" si="1"/>
        <v>9585</v>
      </c>
      <c r="F20" s="28">
        <f t="shared" si="1"/>
        <v>5962.5</v>
      </c>
      <c r="G20" s="28">
        <f t="shared" si="1"/>
        <v>8619</v>
      </c>
      <c r="H20" s="28">
        <f t="shared" si="1"/>
        <v>9585</v>
      </c>
      <c r="I20" s="28">
        <f t="shared" si="1"/>
        <v>8619</v>
      </c>
      <c r="J20" s="28">
        <f t="shared" si="1"/>
        <v>5238</v>
      </c>
      <c r="K20" s="28">
        <f t="shared" si="1"/>
        <v>4755</v>
      </c>
      <c r="L20" s="28">
        <f t="shared" si="1"/>
        <v>10551</v>
      </c>
      <c r="M20" s="28">
        <f t="shared" si="1"/>
        <v>9343.5</v>
      </c>
      <c r="N20" s="28">
        <f t="shared" si="1"/>
        <v>10068</v>
      </c>
      <c r="O20" s="5"/>
      <c r="P20" s="42">
        <f>SUM(C20:N20)</f>
        <v>100723.2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5609.88</v>
      </c>
      <c r="D23" s="10">
        <v>5281.5</v>
      </c>
      <c r="E23" s="10">
        <v>5456.04</v>
      </c>
      <c r="F23" s="10">
        <v>4519.68</v>
      </c>
      <c r="G23" s="10">
        <v>5456.04</v>
      </c>
      <c r="H23" s="10">
        <v>5456.04</v>
      </c>
      <c r="I23" s="10">
        <v>4361.74</v>
      </c>
      <c r="J23" s="10">
        <v>5456.04</v>
      </c>
      <c r="K23" s="10">
        <v>5456.04</v>
      </c>
      <c r="L23" s="10">
        <v>5529.03</v>
      </c>
      <c r="M23" s="10">
        <v>5456.04</v>
      </c>
      <c r="N23" s="10">
        <v>5456.04</v>
      </c>
      <c r="O23" s="4"/>
      <c r="P23" s="43">
        <f>SUM(C23:N23)</f>
        <v>63494.110000000008</v>
      </c>
    </row>
    <row r="24" spans="2:16" x14ac:dyDescent="0.3">
      <c r="B24" s="9" t="s">
        <v>8</v>
      </c>
      <c r="C24" s="10">
        <f>1110.83+1876.81</f>
        <v>2987.64</v>
      </c>
      <c r="D24" s="10">
        <f>1119.18+1765.09</f>
        <v>2884.27</v>
      </c>
      <c r="E24" s="10">
        <f>1204.39+1920.15</f>
        <v>3124.54</v>
      </c>
      <c r="F24" s="10">
        <f>991.65+1539.22</f>
        <v>2530.87</v>
      </c>
      <c r="G24" s="10">
        <f>1204.39+1943.41</f>
        <v>3147.8</v>
      </c>
      <c r="H24" s="10">
        <f>1204.39+1944.73</f>
        <v>3149.12</v>
      </c>
      <c r="I24" s="10">
        <f>962.47+1498.3</f>
        <v>2460.77</v>
      </c>
      <c r="J24" s="10">
        <f>1204.39+1944.82</f>
        <v>3149.21</v>
      </c>
      <c r="K24" s="10">
        <f>1204.39+1971.13</f>
        <v>3175.5200000000004</v>
      </c>
      <c r="L24" s="10">
        <f>1221.99+2000.49</f>
        <v>3222.48</v>
      </c>
      <c r="M24" s="10">
        <f>1204.39+1946.14</f>
        <v>3150.53</v>
      </c>
      <c r="N24" s="10">
        <f>1204.39+1944.82</f>
        <v>3149.21</v>
      </c>
      <c r="O24" s="4"/>
      <c r="P24" s="43">
        <f>SUM(C24:N24)</f>
        <v>36131.96</v>
      </c>
    </row>
    <row r="25" spans="2:16" x14ac:dyDescent="0.3">
      <c r="B25" s="60" t="s">
        <v>39</v>
      </c>
      <c r="C25" s="61">
        <v>215.83</v>
      </c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4"/>
      <c r="P25" s="43">
        <f>SUM(C25:N25)</f>
        <v>215.83</v>
      </c>
    </row>
    <row r="26" spans="2:16" x14ac:dyDescent="0.3">
      <c r="B26" s="9" t="s">
        <v>43</v>
      </c>
      <c r="C26" s="10"/>
      <c r="D26" s="10"/>
      <c r="E26" s="73">
        <v>3000</v>
      </c>
      <c r="F26" s="10"/>
      <c r="G26" s="10"/>
      <c r="H26" s="10"/>
      <c r="I26" s="10"/>
      <c r="J26" s="10"/>
      <c r="K26" s="10"/>
      <c r="L26" s="10"/>
      <c r="M26" s="10"/>
      <c r="N26" s="10"/>
      <c r="O26" s="4"/>
      <c r="P26" s="43">
        <f>SUM(C26:N26)</f>
        <v>3000</v>
      </c>
    </row>
    <row r="27" spans="2:16" x14ac:dyDescent="0.3">
      <c r="B27" s="8" t="s">
        <v>3</v>
      </c>
      <c r="C27" s="44">
        <f t="shared" ref="C27:N27" si="2">SUM(C23:C26)</f>
        <v>8813.35</v>
      </c>
      <c r="D27" s="44">
        <f t="shared" si="2"/>
        <v>8165.77</v>
      </c>
      <c r="E27" s="44">
        <f t="shared" si="2"/>
        <v>11580.58</v>
      </c>
      <c r="F27" s="44">
        <f t="shared" si="2"/>
        <v>7050.55</v>
      </c>
      <c r="G27" s="44">
        <f t="shared" si="2"/>
        <v>8603.84</v>
      </c>
      <c r="H27" s="44">
        <f t="shared" si="2"/>
        <v>8605.16</v>
      </c>
      <c r="I27" s="44">
        <f t="shared" si="2"/>
        <v>6822.51</v>
      </c>
      <c r="J27" s="44">
        <f t="shared" si="2"/>
        <v>8605.25</v>
      </c>
      <c r="K27" s="44">
        <f t="shared" si="2"/>
        <v>8631.5600000000013</v>
      </c>
      <c r="L27" s="44">
        <f t="shared" si="2"/>
        <v>8751.51</v>
      </c>
      <c r="M27" s="44">
        <f t="shared" si="2"/>
        <v>8606.57</v>
      </c>
      <c r="N27" s="44">
        <f t="shared" si="2"/>
        <v>8605.25</v>
      </c>
      <c r="O27" s="4"/>
      <c r="P27" s="58">
        <f>SUM(C27:N27)</f>
        <v>102841.9</v>
      </c>
    </row>
    <row r="28" spans="2:16" x14ac:dyDescent="0.3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3">
      <c r="B29" s="65" t="s">
        <v>42</v>
      </c>
      <c r="C29" s="66"/>
      <c r="D29" s="66"/>
      <c r="E29" s="66">
        <v>200</v>
      </c>
      <c r="F29" s="66">
        <v>200</v>
      </c>
      <c r="G29" s="66">
        <v>200</v>
      </c>
      <c r="H29" s="66">
        <v>200</v>
      </c>
      <c r="I29" s="66">
        <v>200</v>
      </c>
      <c r="J29" s="66">
        <v>200</v>
      </c>
      <c r="K29" s="66">
        <v>200</v>
      </c>
      <c r="L29" s="66">
        <v>200</v>
      </c>
      <c r="M29" s="66">
        <v>200</v>
      </c>
      <c r="N29" s="66">
        <v>200</v>
      </c>
      <c r="P29" s="67">
        <f>SUM(E29:N29)</f>
        <v>2000</v>
      </c>
    </row>
    <row r="30" spans="2:16" x14ac:dyDescent="0.3">
      <c r="B30" s="4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5"/>
    </row>
    <row r="31" spans="2:16" x14ac:dyDescent="0.3">
      <c r="B31" s="46" t="s">
        <v>36</v>
      </c>
      <c r="C31" s="47">
        <f t="shared" ref="C31:N31" si="3">C20-C27</f>
        <v>964.85000000000036</v>
      </c>
      <c r="D31" s="47">
        <f t="shared" si="3"/>
        <v>453.22999999999956</v>
      </c>
      <c r="E31" s="47">
        <f t="shared" si="3"/>
        <v>-1995.58</v>
      </c>
      <c r="F31" s="47">
        <f t="shared" si="3"/>
        <v>-1088.0500000000002</v>
      </c>
      <c r="G31" s="47">
        <f t="shared" si="3"/>
        <v>15.159999999999854</v>
      </c>
      <c r="H31" s="47">
        <f t="shared" si="3"/>
        <v>979.84000000000015</v>
      </c>
      <c r="I31" s="47">
        <f t="shared" si="3"/>
        <v>1796.4899999999998</v>
      </c>
      <c r="J31" s="47">
        <f t="shared" si="3"/>
        <v>-3367.25</v>
      </c>
      <c r="K31" s="47">
        <f t="shared" si="3"/>
        <v>-3876.5600000000013</v>
      </c>
      <c r="L31" s="47">
        <f t="shared" si="3"/>
        <v>1799.4899999999998</v>
      </c>
      <c r="M31" s="47">
        <f t="shared" si="3"/>
        <v>736.93000000000029</v>
      </c>
      <c r="N31" s="47">
        <f t="shared" si="3"/>
        <v>1462.75</v>
      </c>
      <c r="P31" s="57">
        <f>SUM(C31:N31)</f>
        <v>-2118.7000000000016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29"/>
  <sheetViews>
    <sheetView workbookViewId="0">
      <selection activeCell="G28" sqref="G28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8" t="s">
        <v>9</v>
      </c>
    </row>
    <row r="2" spans="2:16" x14ac:dyDescent="0.3">
      <c r="B2" s="69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4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/>
      <c r="I6" s="37"/>
      <c r="J6" s="37"/>
      <c r="K6" s="37"/>
      <c r="L6" s="37"/>
      <c r="M6" s="37"/>
      <c r="N6" s="37"/>
      <c r="O6" s="36"/>
      <c r="P6" s="55">
        <f>SUM(C6:N6)</f>
        <v>95</v>
      </c>
    </row>
    <row r="7" spans="2:16" x14ac:dyDescent="0.3">
      <c r="B7" s="9" t="s">
        <v>21</v>
      </c>
      <c r="C7" s="37">
        <v>19</v>
      </c>
      <c r="D7" s="37">
        <v>20</v>
      </c>
      <c r="E7" s="37">
        <v>20</v>
      </c>
      <c r="F7" s="37">
        <v>21</v>
      </c>
      <c r="G7" s="37">
        <v>19</v>
      </c>
      <c r="H7" s="37"/>
      <c r="I7" s="37"/>
      <c r="J7" s="37"/>
      <c r="K7" s="37"/>
      <c r="L7" s="37"/>
      <c r="M7" s="37"/>
      <c r="N7" s="37"/>
      <c r="O7" s="36"/>
      <c r="P7" s="55">
        <f>SUM(C7:N7)</f>
        <v>99</v>
      </c>
    </row>
    <row r="8" spans="2:16" x14ac:dyDescent="0.3">
      <c r="B8" s="18" t="s">
        <v>22</v>
      </c>
      <c r="C8" s="59">
        <f t="shared" ref="C8:N8" si="0">C7-C6</f>
        <v>0</v>
      </c>
      <c r="D8" s="59">
        <f t="shared" si="0"/>
        <v>1</v>
      </c>
      <c r="E8" s="59">
        <f t="shared" si="0"/>
        <v>1</v>
      </c>
      <c r="F8" s="59">
        <f t="shared" si="0"/>
        <v>2</v>
      </c>
      <c r="G8" s="59">
        <f t="shared" si="0"/>
        <v>0</v>
      </c>
      <c r="H8" s="59">
        <f t="shared" si="0"/>
        <v>0</v>
      </c>
      <c r="I8" s="59">
        <f t="shared" si="0"/>
        <v>0</v>
      </c>
      <c r="J8" s="59">
        <f t="shared" si="0"/>
        <v>0</v>
      </c>
      <c r="K8" s="59">
        <f t="shared" si="0"/>
        <v>0</v>
      </c>
      <c r="L8" s="59">
        <f t="shared" si="0"/>
        <v>0</v>
      </c>
      <c r="M8" s="59">
        <f t="shared" si="0"/>
        <v>0</v>
      </c>
      <c r="N8" s="59">
        <f t="shared" si="0"/>
        <v>0</v>
      </c>
      <c r="O8" s="36"/>
      <c r="P8" s="55">
        <f>SUM(C8:N8)</f>
        <v>4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4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19</v>
      </c>
      <c r="D11" s="11">
        <v>20</v>
      </c>
      <c r="E11" s="11">
        <v>20.5</v>
      </c>
      <c r="F11" s="11">
        <v>21</v>
      </c>
      <c r="G11" s="11">
        <v>19</v>
      </c>
      <c r="H11" s="11"/>
      <c r="I11" s="11"/>
      <c r="J11" s="11"/>
      <c r="K11" s="11"/>
      <c r="L11" s="11"/>
      <c r="M11" s="11"/>
      <c r="N11" s="11"/>
      <c r="P11" s="56">
        <f>SUM(C11:N11)</f>
        <v>99.5</v>
      </c>
    </row>
    <row r="12" spans="2:16" x14ac:dyDescent="0.3">
      <c r="B12" s="9" t="s">
        <v>16</v>
      </c>
      <c r="C12" s="12">
        <v>3</v>
      </c>
      <c r="D12" s="12"/>
      <c r="E12" s="12">
        <v>0.5</v>
      </c>
      <c r="F12" s="12"/>
      <c r="G12" s="12"/>
      <c r="H12" s="12"/>
      <c r="I12" s="12"/>
      <c r="J12" s="12"/>
      <c r="K12" s="12"/>
      <c r="L12" s="12"/>
      <c r="M12" s="12"/>
      <c r="N12" s="12"/>
      <c r="P12" s="56">
        <f>SUM(C12:N12)</f>
        <v>3.5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6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6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C11*Params!$C$6*(1-Params!$C$3)-Params!$C$4</f>
        <v>9102</v>
      </c>
      <c r="D17" s="10">
        <f>D11*Params!$C$6*(1-Params!$C$3)-Params!$C$4</f>
        <v>9585</v>
      </c>
      <c r="E17" s="10">
        <f>E11*Params!$C$6*(1-Params!$C$3)-Params!$C$4</f>
        <v>9826.5</v>
      </c>
      <c r="F17" s="10">
        <f>F11*Params!$C$6*(1-Params!$C$3)-Params!$C$4</f>
        <v>10068</v>
      </c>
      <c r="G17" s="10">
        <f>G11*Params!$C$6*(1-Params!$C$3)-Params!$C$4</f>
        <v>9102</v>
      </c>
      <c r="H17" s="10"/>
      <c r="I17" s="10"/>
      <c r="J17" s="10"/>
      <c r="K17" s="10"/>
      <c r="L17" s="10"/>
      <c r="M17" s="10"/>
      <c r="N17" s="10"/>
      <c r="O17" s="4"/>
      <c r="P17" s="41">
        <f>SUM(C17:N17)</f>
        <v>47683.5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9102</v>
      </c>
      <c r="D19" s="28">
        <f t="shared" si="1"/>
        <v>9585</v>
      </c>
      <c r="E19" s="28">
        <f t="shared" si="1"/>
        <v>9826.5</v>
      </c>
      <c r="F19" s="28">
        <f t="shared" si="1"/>
        <v>10068</v>
      </c>
      <c r="G19" s="28">
        <f t="shared" si="1"/>
        <v>9102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SUM(C19:N19)</f>
        <v>47683.5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5457.07</v>
      </c>
      <c r="D22" s="10">
        <v>5457.07</v>
      </c>
      <c r="E22" s="10">
        <v>5457.07</v>
      </c>
      <c r="F22" s="10">
        <v>5457.07</v>
      </c>
      <c r="G22" s="10">
        <v>5457.07</v>
      </c>
      <c r="H22" s="10"/>
      <c r="I22" s="10"/>
      <c r="J22" s="10"/>
      <c r="K22" s="10"/>
      <c r="L22" s="10"/>
      <c r="M22" s="10"/>
      <c r="N22" s="10"/>
      <c r="O22" s="4"/>
      <c r="P22" s="43">
        <f>SUM(C22:N22)</f>
        <v>27285.35</v>
      </c>
    </row>
    <row r="23" spans="2:16" x14ac:dyDescent="0.3">
      <c r="B23" s="9" t="s">
        <v>8</v>
      </c>
      <c r="C23" s="10">
        <f>1210.32+2278.84</f>
        <v>3489.16</v>
      </c>
      <c r="D23" s="10">
        <f>1210.32+2286.73</f>
        <v>3497.05</v>
      </c>
      <c r="E23" s="10">
        <f>1210.32+2281.48</f>
        <v>3491.8</v>
      </c>
      <c r="F23" s="10">
        <f>1210.32+2280.16</f>
        <v>3490.4799999999996</v>
      </c>
      <c r="G23" s="10">
        <f>1210.32+2278.84</f>
        <v>3489.16</v>
      </c>
      <c r="H23" s="10"/>
      <c r="I23" s="10"/>
      <c r="J23" s="10"/>
      <c r="K23" s="10"/>
      <c r="L23" s="10"/>
      <c r="M23" s="10"/>
      <c r="N23" s="10"/>
      <c r="O23" s="4"/>
      <c r="P23" s="43">
        <f>SUM(C23:N23)</f>
        <v>17457.650000000001</v>
      </c>
    </row>
    <row r="24" spans="2:16" x14ac:dyDescent="0.3">
      <c r="B24" s="60" t="s">
        <v>39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4"/>
      <c r="P24" s="43">
        <f>SUM(C24:N24)</f>
        <v>0</v>
      </c>
    </row>
    <row r="25" spans="2:16" x14ac:dyDescent="0.3">
      <c r="B25" s="8" t="s">
        <v>3</v>
      </c>
      <c r="C25" s="44">
        <f t="shared" ref="C25:N25" si="2">SUM(C22:C24)</f>
        <v>8946.23</v>
      </c>
      <c r="D25" s="44">
        <f t="shared" si="2"/>
        <v>8954.119999999999</v>
      </c>
      <c r="E25" s="44">
        <f t="shared" si="2"/>
        <v>8948.869999999999</v>
      </c>
      <c r="F25" s="44">
        <f t="shared" si="2"/>
        <v>8947.5499999999993</v>
      </c>
      <c r="G25" s="44">
        <f t="shared" si="2"/>
        <v>8946.23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0</v>
      </c>
      <c r="M25" s="44">
        <f t="shared" si="2"/>
        <v>0</v>
      </c>
      <c r="N25" s="44">
        <f t="shared" si="2"/>
        <v>0</v>
      </c>
      <c r="O25" s="4"/>
      <c r="P25" s="58">
        <f>SUM(C25:N25)</f>
        <v>44743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65" t="s">
        <v>42</v>
      </c>
      <c r="C27" s="66">
        <v>200</v>
      </c>
      <c r="D27" s="66">
        <v>200</v>
      </c>
      <c r="E27" s="66">
        <v>200</v>
      </c>
      <c r="F27" s="66">
        <v>200</v>
      </c>
      <c r="G27" s="66">
        <v>200</v>
      </c>
      <c r="H27" s="66"/>
      <c r="I27" s="66"/>
      <c r="J27" s="66"/>
      <c r="K27" s="66"/>
      <c r="L27" s="66"/>
      <c r="M27" s="66"/>
      <c r="N27" s="66"/>
      <c r="P27" s="67">
        <f>SUM(C27:N27)</f>
        <v>1000</v>
      </c>
    </row>
    <row r="28" spans="2:16" x14ac:dyDescent="0.3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3">
      <c r="B29" s="46" t="s">
        <v>36</v>
      </c>
      <c r="C29" s="47">
        <f t="shared" ref="C29:N29" si="3">C19-C25</f>
        <v>155.77000000000044</v>
      </c>
      <c r="D29" s="47">
        <f t="shared" si="3"/>
        <v>630.88000000000102</v>
      </c>
      <c r="E29" s="47">
        <f t="shared" si="3"/>
        <v>877.63000000000102</v>
      </c>
      <c r="F29" s="47">
        <f t="shared" si="3"/>
        <v>1120.4500000000007</v>
      </c>
      <c r="G29" s="47">
        <f t="shared" si="3"/>
        <v>155.77000000000044</v>
      </c>
      <c r="H29" s="47">
        <f t="shared" si="3"/>
        <v>0</v>
      </c>
      <c r="I29" s="47">
        <f t="shared" si="3"/>
        <v>0</v>
      </c>
      <c r="J29" s="47">
        <f t="shared" si="3"/>
        <v>0</v>
      </c>
      <c r="K29" s="47">
        <f t="shared" si="3"/>
        <v>0</v>
      </c>
      <c r="L29" s="47">
        <f t="shared" si="3"/>
        <v>0</v>
      </c>
      <c r="M29" s="47">
        <f t="shared" si="3"/>
        <v>0</v>
      </c>
      <c r="N29" s="47">
        <f t="shared" si="3"/>
        <v>0</v>
      </c>
      <c r="P29" s="57">
        <f>SUM(C29:N29)</f>
        <v>2940.5000000000036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6"/>
  <sheetViews>
    <sheetView workbookViewId="0">
      <selection activeCell="B13" sqref="B13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0" t="s">
        <v>23</v>
      </c>
      <c r="C2" s="71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38</v>
      </c>
      <c r="C5" s="33">
        <v>510</v>
      </c>
    </row>
    <row r="6" spans="2:3" ht="31.2" customHeight="1" x14ac:dyDescent="0.3">
      <c r="B6" s="64" t="s">
        <v>41</v>
      </c>
      <c r="C6" s="33">
        <v>525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5"/>
  <sheetViews>
    <sheetView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2" t="s">
        <v>33</v>
      </c>
      <c r="C2" s="72"/>
    </row>
    <row r="3" spans="2:3" ht="16.95" customHeight="1" x14ac:dyDescent="0.3">
      <c r="B3" s="38" t="s">
        <v>34</v>
      </c>
      <c r="C3" s="39">
        <f>SUM('2023'!P27)+('2024'!P31)+'2025'!P29</f>
        <v>8482.4200000000092</v>
      </c>
    </row>
    <row r="4" spans="2:3" ht="16.95" customHeight="1" x14ac:dyDescent="0.3">
      <c r="B4" s="38" t="s">
        <v>37</v>
      </c>
      <c r="C4" s="40">
        <f>'2023'!P12+'2024'!P12+'2025'!P12</f>
        <v>42</v>
      </c>
    </row>
    <row r="5" spans="2:3" x14ac:dyDescent="0.3">
      <c r="B5" s="38" t="s">
        <v>44</v>
      </c>
      <c r="C5" s="40">
        <f>(27*2.08)-C4-0.16</f>
        <v>14.000000000000004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96</vt:i4>
      </vt:variant>
    </vt:vector>
  </HeadingPairs>
  <TitlesOfParts>
    <vt:vector size="101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2025-06-05T10:36:31Z</dcterms:modified>
</cp:coreProperties>
</file>