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E6E19D5A-3F0A-49E2-A9BF-BEB43C572C68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'2023'!#REF!</definedName>
    <definedName name="FRAIS_KM" localSheetId="1">'2024'!#REF!</definedName>
    <definedName name="FRAIS_KM" localSheetId="2">'2025'!#REF!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'2023'!#REF!</definedName>
    <definedName name="NOMBRE_KM" localSheetId="1">'2024'!#REF!</definedName>
    <definedName name="NOMBRE_KM" localSheetId="2">'2025'!#REF!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'2024'!$B$31</definedName>
    <definedName name="SOLDE" localSheetId="2">'2025'!$B$29</definedName>
    <definedName name="SORTIES" localSheetId="0">'2023'!$B$21</definedName>
    <definedName name="SORTIES" localSheetId="1">'2024'!$B$22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'2025'!$B$23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 localSheetId="2">'2025'!#REF!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3" i="16" l="1"/>
  <c r="G17" i="16"/>
  <c r="F23" i="16" l="1"/>
  <c r="F17" i="16"/>
  <c r="P27" i="16" l="1"/>
  <c r="N25" i="16"/>
  <c r="M25" i="16"/>
  <c r="L25" i="16"/>
  <c r="K25" i="16"/>
  <c r="J25" i="16"/>
  <c r="I25" i="16"/>
  <c r="H25" i="16"/>
  <c r="G25" i="16"/>
  <c r="F25" i="16"/>
  <c r="P24" i="16"/>
  <c r="E23" i="16"/>
  <c r="E25" i="16" s="1"/>
  <c r="D23" i="16"/>
  <c r="D25" i="16" s="1"/>
  <c r="C23" i="16"/>
  <c r="C25" i="16" s="1"/>
  <c r="P22" i="16"/>
  <c r="N19" i="16"/>
  <c r="M19" i="16"/>
  <c r="M29" i="16" s="1"/>
  <c r="L19" i="16"/>
  <c r="L29" i="16" s="1"/>
  <c r="K19" i="16"/>
  <c r="K29" i="16" s="1"/>
  <c r="J19" i="16"/>
  <c r="I19" i="16"/>
  <c r="I29" i="16" s="1"/>
  <c r="H19" i="16"/>
  <c r="H29" i="16" s="1"/>
  <c r="G19" i="16"/>
  <c r="F19" i="16"/>
  <c r="P18" i="16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9" i="15"/>
  <c r="H27" i="15"/>
  <c r="G27" i="15"/>
  <c r="P26" i="15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G24" i="15"/>
  <c r="F24" i="15"/>
  <c r="F27" i="15" s="1"/>
  <c r="E24" i="15"/>
  <c r="E27" i="15" s="1"/>
  <c r="D24" i="15"/>
  <c r="D27" i="15" s="1"/>
  <c r="C24" i="15"/>
  <c r="C27" i="15" s="1"/>
  <c r="P23" i="15"/>
  <c r="M20" i="15"/>
  <c r="M31" i="15" s="1"/>
  <c r="P19" i="15"/>
  <c r="N18" i="15"/>
  <c r="N20" i="15" s="1"/>
  <c r="M18" i="15"/>
  <c r="L18" i="15"/>
  <c r="L20" i="15" s="1"/>
  <c r="K18" i="15"/>
  <c r="K20" i="15" s="1"/>
  <c r="J18" i="15"/>
  <c r="J20" i="15" s="1"/>
  <c r="I18" i="15"/>
  <c r="I20" i="15" s="1"/>
  <c r="H18" i="15"/>
  <c r="H20" i="15" s="1"/>
  <c r="G18" i="15"/>
  <c r="G20" i="15" s="1"/>
  <c r="G31" i="15" s="1"/>
  <c r="F18" i="15"/>
  <c r="F20" i="15" s="1"/>
  <c r="F31" i="15" s="1"/>
  <c r="E18" i="15"/>
  <c r="E20" i="15" s="1"/>
  <c r="E31" i="15" s="1"/>
  <c r="D18" i="15"/>
  <c r="D20" i="15" s="1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D27" i="14"/>
  <c r="J25" i="14"/>
  <c r="D25" i="14"/>
  <c r="C25" i="14"/>
  <c r="C27" i="14" s="1"/>
  <c r="P24" i="14"/>
  <c r="N23" i="14"/>
  <c r="N25" i="14" s="1"/>
  <c r="M23" i="14"/>
  <c r="M25" i="14" s="1"/>
  <c r="L23" i="14"/>
  <c r="L25" i="14" s="1"/>
  <c r="K23" i="14"/>
  <c r="K25" i="14" s="1"/>
  <c r="J23" i="14"/>
  <c r="I23" i="14"/>
  <c r="I25" i="14" s="1"/>
  <c r="H23" i="14"/>
  <c r="H25" i="14" s="1"/>
  <c r="G23" i="14"/>
  <c r="G25" i="14" s="1"/>
  <c r="F23" i="14"/>
  <c r="F25" i="14" s="1"/>
  <c r="E23" i="14"/>
  <c r="E25" i="14" s="1"/>
  <c r="P22" i="14"/>
  <c r="L19" i="14"/>
  <c r="G19" i="14"/>
  <c r="G27" i="14" s="1"/>
  <c r="D19" i="14"/>
  <c r="C19" i="14"/>
  <c r="P18" i="14"/>
  <c r="N17" i="14"/>
  <c r="N19" i="14" s="1"/>
  <c r="N27" i="14" s="1"/>
  <c r="M17" i="14"/>
  <c r="M19" i="14" s="1"/>
  <c r="L17" i="14"/>
  <c r="K17" i="14"/>
  <c r="K19" i="14" s="1"/>
  <c r="J17" i="14"/>
  <c r="J19" i="14" s="1"/>
  <c r="J27" i="14" s="1"/>
  <c r="I17" i="14"/>
  <c r="I19" i="14" s="1"/>
  <c r="H17" i="14"/>
  <c r="H19" i="14" s="1"/>
  <c r="G17" i="14"/>
  <c r="F17" i="14"/>
  <c r="F19" i="14" s="1"/>
  <c r="E17" i="14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L31" i="15" l="1"/>
  <c r="D31" i="15"/>
  <c r="P8" i="14"/>
  <c r="I27" i="14"/>
  <c r="P17" i="16"/>
  <c r="J29" i="16"/>
  <c r="H31" i="15"/>
  <c r="P23" i="16"/>
  <c r="P25" i="14"/>
  <c r="P17" i="14"/>
  <c r="M27" i="14"/>
  <c r="K27" i="14"/>
  <c r="P8" i="15"/>
  <c r="J31" i="15"/>
  <c r="N31" i="15"/>
  <c r="L27" i="14"/>
  <c r="N29" i="16"/>
  <c r="P27" i="15"/>
  <c r="H27" i="14"/>
  <c r="I31" i="15"/>
  <c r="G29" i="16"/>
  <c r="F29" i="16"/>
  <c r="P8" i="16"/>
  <c r="D29" i="16"/>
  <c r="E29" i="16"/>
  <c r="F27" i="14"/>
  <c r="P20" i="15"/>
  <c r="C31" i="15"/>
  <c r="K31" i="15"/>
  <c r="P19" i="16"/>
  <c r="C29" i="16"/>
  <c r="P25" i="16"/>
  <c r="P24" i="15"/>
  <c r="E19" i="14"/>
  <c r="E27" i="14" s="1"/>
  <c r="P23" i="14"/>
  <c r="P18" i="15"/>
  <c r="P27" i="14" l="1"/>
  <c r="P19" i="14"/>
  <c r="P31" i="15"/>
  <c r="P29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<sst xmlns="http://schemas.openxmlformats.org/spreadsheetml/2006/main" count="115" uniqueCount="45">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</sst>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12" borderId="4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2" workbookViewId="0">
      <selection activeCell="N17" sqref="N1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3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29.5</v>
      </c>
      <c r="O7" s="36"/>
      <c r="P7" s="55">
        <f>SUM(C7:N7)</f>
        <v>199.5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10.5</v>
      </c>
      <c r="O8" s="36"/>
      <c r="P8" s="55">
        <f>SUM(C8:N8)</f>
        <v>9.5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3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1"/>
  <sheetViews>
    <sheetView tabSelected="1" workbookViewId="0">
      <selection activeCell="E26" sqref="E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13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222</v>
      </c>
    </row>
    <row r="7" spans="2:16" x14ac:dyDescent="0.3">
      <c r="B7" s="9" t="s">
        <v>21</v>
      </c>
      <c r="C7" s="37">
        <v>21</v>
      </c>
      <c r="D7" s="37">
        <v>18</v>
      </c>
      <c r="E7" s="37">
        <v>20</v>
      </c>
      <c r="F7" s="37">
        <v>12</v>
      </c>
      <c r="G7" s="37">
        <v>18</v>
      </c>
      <c r="H7" s="37">
        <v>20</v>
      </c>
      <c r="I7" s="37">
        <v>18</v>
      </c>
      <c r="J7" s="37">
        <v>11</v>
      </c>
      <c r="K7" s="37">
        <v>10</v>
      </c>
      <c r="L7" s="37">
        <v>22</v>
      </c>
      <c r="M7" s="37">
        <v>19</v>
      </c>
      <c r="N7" s="37">
        <v>21</v>
      </c>
      <c r="O7" s="36"/>
      <c r="P7" s="55">
        <f>SUM(C7:N7)</f>
        <v>210</v>
      </c>
    </row>
    <row r="8" spans="2:16" x14ac:dyDescent="0.3">
      <c r="B8" s="18" t="s">
        <v>22</v>
      </c>
      <c r="C8" s="59">
        <f t="shared" ref="C8:N8" si="0">C7-C6</f>
        <v>2</v>
      </c>
      <c r="D8" s="59">
        <f t="shared" si="0"/>
        <v>-1</v>
      </c>
      <c r="E8" s="59">
        <f t="shared" si="0"/>
        <v>1</v>
      </c>
      <c r="F8" s="59">
        <f t="shared" si="0"/>
        <v>-7</v>
      </c>
      <c r="G8" s="59">
        <f t="shared" si="0"/>
        <v>-1</v>
      </c>
      <c r="H8" s="59">
        <f t="shared" si="0"/>
        <v>1</v>
      </c>
      <c r="I8" s="59">
        <f t="shared" si="0"/>
        <v>5</v>
      </c>
      <c r="J8" s="59">
        <f t="shared" si="0"/>
        <v>-8</v>
      </c>
      <c r="K8" s="59">
        <f t="shared" si="0"/>
        <v>-9</v>
      </c>
      <c r="L8" s="59">
        <f t="shared" si="0"/>
        <v>3</v>
      </c>
      <c r="M8" s="59">
        <f t="shared" si="0"/>
        <v>0</v>
      </c>
      <c r="N8" s="59">
        <f t="shared" si="0"/>
        <v>2</v>
      </c>
      <c r="O8" s="36"/>
      <c r="P8" s="55">
        <f>SUM(C8:N8)</f>
        <v>-12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18</v>
      </c>
      <c r="E11" s="11">
        <v>20</v>
      </c>
      <c r="F11" s="11">
        <v>12.5</v>
      </c>
      <c r="G11" s="11">
        <v>18</v>
      </c>
      <c r="H11" s="11">
        <v>20</v>
      </c>
      <c r="I11" s="11">
        <v>18</v>
      </c>
      <c r="J11" s="11">
        <v>11</v>
      </c>
      <c r="K11" s="11">
        <v>10</v>
      </c>
      <c r="L11" s="11">
        <v>22</v>
      </c>
      <c r="M11" s="11">
        <v>19.5</v>
      </c>
      <c r="N11" s="11">
        <v>21</v>
      </c>
      <c r="P11" s="56">
        <f>SUM(C11:N11)</f>
        <v>211</v>
      </c>
    </row>
    <row r="12" spans="2:16" x14ac:dyDescent="0.3">
      <c r="B12" s="9" t="s">
        <v>16</v>
      </c>
      <c r="C12" s="12">
        <v>0</v>
      </c>
      <c r="D12" s="12">
        <v>1</v>
      </c>
      <c r="E12" s="12">
        <v>1</v>
      </c>
      <c r="F12" s="12">
        <v>0.5</v>
      </c>
      <c r="G12" s="12">
        <v>1</v>
      </c>
      <c r="H12" s="12"/>
      <c r="I12" s="12">
        <v>0</v>
      </c>
      <c r="J12" s="12">
        <v>10</v>
      </c>
      <c r="K12" s="12">
        <v>11</v>
      </c>
      <c r="L12" s="12">
        <v>0.5</v>
      </c>
      <c r="M12" s="12"/>
      <c r="N12" s="12"/>
      <c r="P12" s="56">
        <f>SUM(C12:N12)</f>
        <v>25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62" t="s">
        <v>40</v>
      </c>
      <c r="C14" s="63">
        <v>3</v>
      </c>
      <c r="D14" s="63">
        <v>4</v>
      </c>
      <c r="E14" s="63"/>
      <c r="F14" s="63">
        <v>10</v>
      </c>
      <c r="G14" s="63"/>
      <c r="H14" s="63"/>
      <c r="I14" s="63">
        <v>11</v>
      </c>
      <c r="J14" s="63"/>
      <c r="K14" s="63"/>
      <c r="L14" s="63"/>
      <c r="M14" s="63"/>
      <c r="N14" s="63"/>
      <c r="P14" s="56">
        <f>SUM(C14:N14)</f>
        <v>28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9778.2000000000007</v>
      </c>
      <c r="D18" s="10">
        <f>D11*Params!$C$6*(1-Params!$C$3)-Params!$C$4</f>
        <v>8619</v>
      </c>
      <c r="E18" s="10">
        <f>E11*Params!$C$6*(1-Params!$C$3)-Params!$C$4</f>
        <v>9585</v>
      </c>
      <c r="F18" s="10">
        <f>F11*Params!$C$6*(1-Params!$C$3)-Params!$C$4</f>
        <v>5962.5</v>
      </c>
      <c r="G18" s="10">
        <f>G11*Params!$C$6*(1-Params!$C$3)-Params!$C$4</f>
        <v>8619</v>
      </c>
      <c r="H18" s="10">
        <f>H11*Params!$C$6*(1-Params!$C$3)-Params!$C$4</f>
        <v>9585</v>
      </c>
      <c r="I18" s="10">
        <f>I11*Params!$C$6*(1-Params!$C$3)-Params!$C$4</f>
        <v>8619</v>
      </c>
      <c r="J18" s="10">
        <f>J11*Params!$C$6*(1-Params!$C$3)-Params!$C$4</f>
        <v>5238</v>
      </c>
      <c r="K18" s="10">
        <f>K11*Params!$C$6*(1-Params!$C$3)-Params!$C$4</f>
        <v>4755</v>
      </c>
      <c r="L18" s="10">
        <f>L11*Params!$C$6*(1-Params!$C$3)-Params!$C$4</f>
        <v>10551</v>
      </c>
      <c r="M18" s="10">
        <f>M11*Params!$C$6*(1-Params!$C$3)-Params!$C$4</f>
        <v>9343.5</v>
      </c>
      <c r="N18" s="10">
        <f>N11*Params!$C$6*(1-Params!$C$3)-Params!$C$4</f>
        <v>10068</v>
      </c>
      <c r="O18" s="4"/>
      <c r="P18" s="41">
        <f>SUM(C18:N18)</f>
        <v>100723.2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9778.2000000000007</v>
      </c>
      <c r="D20" s="28">
        <f t="shared" si="1"/>
        <v>8619</v>
      </c>
      <c r="E20" s="28">
        <f t="shared" si="1"/>
        <v>9585</v>
      </c>
      <c r="F20" s="28">
        <f t="shared" si="1"/>
        <v>5962.5</v>
      </c>
      <c r="G20" s="28">
        <f t="shared" si="1"/>
        <v>8619</v>
      </c>
      <c r="H20" s="28">
        <f t="shared" si="1"/>
        <v>9585</v>
      </c>
      <c r="I20" s="28">
        <f t="shared" si="1"/>
        <v>8619</v>
      </c>
      <c r="J20" s="28">
        <f t="shared" si="1"/>
        <v>5238</v>
      </c>
      <c r="K20" s="28">
        <f t="shared" si="1"/>
        <v>4755</v>
      </c>
      <c r="L20" s="28">
        <f t="shared" si="1"/>
        <v>10551</v>
      </c>
      <c r="M20" s="28">
        <f t="shared" si="1"/>
        <v>9343.5</v>
      </c>
      <c r="N20" s="28">
        <f t="shared" si="1"/>
        <v>10068</v>
      </c>
      <c r="O20" s="5"/>
      <c r="P20" s="42">
        <f>SUM(C20:N20)</f>
        <v>100723.2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5609.88</v>
      </c>
      <c r="D23" s="10">
        <v>5281.5</v>
      </c>
      <c r="E23" s="10">
        <v>5456.04</v>
      </c>
      <c r="F23" s="10">
        <v>4519.68</v>
      </c>
      <c r="G23" s="10">
        <v>5456.04</v>
      </c>
      <c r="H23" s="10">
        <v>5456.04</v>
      </c>
      <c r="I23" s="10">
        <v>4361.74</v>
      </c>
      <c r="J23" s="10">
        <v>5456.04</v>
      </c>
      <c r="K23" s="10">
        <v>5456.04</v>
      </c>
      <c r="L23" s="10">
        <v>5529.03</v>
      </c>
      <c r="M23" s="10">
        <v>5456.04</v>
      </c>
      <c r="N23" s="10">
        <v>5456.04</v>
      </c>
      <c r="O23" s="4"/>
      <c r="P23" s="43">
        <f>SUM(C23:N23)</f>
        <v>63494.110000000008</v>
      </c>
    </row>
    <row r="24" spans="2:16" x14ac:dyDescent="0.3">
      <c r="B24" s="9" t="s">
        <v>8</v>
      </c>
      <c r="C24" s="10">
        <f>1110.83+1876.81</f>
        <v>2987.64</v>
      </c>
      <c r="D24" s="10">
        <f>1119.18+1765.09</f>
        <v>2884.27</v>
      </c>
      <c r="E24" s="10">
        <f>1204.39+1920.15</f>
        <v>3124.54</v>
      </c>
      <c r="F24" s="10">
        <f>991.65+1539.22</f>
        <v>2530.87</v>
      </c>
      <c r="G24" s="10">
        <f>1204.39+1943.41</f>
        <v>3147.8</v>
      </c>
      <c r="H24" s="10">
        <f>1204.39+1944.73</f>
        <v>3149.12</v>
      </c>
      <c r="I24" s="10">
        <f>962.47+1498.3</f>
        <v>2460.77</v>
      </c>
      <c r="J24" s="10">
        <f>1204.39+1944.82</f>
        <v>3149.21</v>
      </c>
      <c r="K24" s="10">
        <f>1204.39+1971.13</f>
        <v>3175.5200000000004</v>
      </c>
      <c r="L24" s="10">
        <f>1221.99+2000.49</f>
        <v>3222.48</v>
      </c>
      <c r="M24" s="10">
        <f>1204.39+1946.14</f>
        <v>3150.53</v>
      </c>
      <c r="N24" s="10">
        <f>1204.39+1944.82</f>
        <v>3149.21</v>
      </c>
      <c r="O24" s="4"/>
      <c r="P24" s="43">
        <f>SUM(C24:N24)</f>
        <v>36131.96</v>
      </c>
    </row>
    <row r="25" spans="2:16" x14ac:dyDescent="0.3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3">
      <c r="B26" s="9" t="s">
        <v>43</v>
      </c>
      <c r="C26" s="10"/>
      <c r="D26" s="10"/>
      <c r="E26" s="73">
        <v>3000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3000</v>
      </c>
    </row>
    <row r="27" spans="2:16" x14ac:dyDescent="0.3">
      <c r="B27" s="8" t="s">
        <v>3</v>
      </c>
      <c r="C27" s="44">
        <f t="shared" ref="C27:N27" si="2">SUM(C23:C26)</f>
        <v>8813.35</v>
      </c>
      <c r="D27" s="44">
        <f t="shared" si="2"/>
        <v>8165.77</v>
      </c>
      <c r="E27" s="44">
        <f t="shared" si="2"/>
        <v>11580.58</v>
      </c>
      <c r="F27" s="44">
        <f t="shared" si="2"/>
        <v>7050.55</v>
      </c>
      <c r="G27" s="44">
        <f t="shared" si="2"/>
        <v>8603.84</v>
      </c>
      <c r="H27" s="44">
        <f t="shared" si="2"/>
        <v>8605.16</v>
      </c>
      <c r="I27" s="44">
        <f t="shared" si="2"/>
        <v>6822.51</v>
      </c>
      <c r="J27" s="44">
        <f t="shared" si="2"/>
        <v>8605.25</v>
      </c>
      <c r="K27" s="44">
        <f t="shared" si="2"/>
        <v>8631.5600000000013</v>
      </c>
      <c r="L27" s="44">
        <f t="shared" si="2"/>
        <v>8751.51</v>
      </c>
      <c r="M27" s="44">
        <f t="shared" si="2"/>
        <v>8606.57</v>
      </c>
      <c r="N27" s="44">
        <f t="shared" si="2"/>
        <v>8605.25</v>
      </c>
      <c r="O27" s="4"/>
      <c r="P27" s="58">
        <f>SUM(C27:N27)</f>
        <v>102841.9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65" t="s">
        <v>42</v>
      </c>
      <c r="C29" s="66"/>
      <c r="D29" s="66"/>
      <c r="E29" s="66">
        <v>200</v>
      </c>
      <c r="F29" s="66">
        <v>200</v>
      </c>
      <c r="G29" s="66">
        <v>200</v>
      </c>
      <c r="H29" s="66">
        <v>200</v>
      </c>
      <c r="I29" s="66">
        <v>200</v>
      </c>
      <c r="J29" s="66">
        <v>200</v>
      </c>
      <c r="K29" s="66">
        <v>200</v>
      </c>
      <c r="L29" s="66">
        <v>200</v>
      </c>
      <c r="M29" s="66">
        <v>200</v>
      </c>
      <c r="N29" s="66">
        <v>200</v>
      </c>
      <c r="P29" s="67">
        <f>SUM(E29:N29)</f>
        <v>2000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46" t="s">
        <v>36</v>
      </c>
      <c r="C31" s="47">
        <f t="shared" ref="C31:N31" si="3">C20-C27</f>
        <v>964.85000000000036</v>
      </c>
      <c r="D31" s="47">
        <f t="shared" si="3"/>
        <v>453.22999999999956</v>
      </c>
      <c r="E31" s="47">
        <f t="shared" si="3"/>
        <v>-1995.58</v>
      </c>
      <c r="F31" s="47">
        <f t="shared" si="3"/>
        <v>-1088.0500000000002</v>
      </c>
      <c r="G31" s="47">
        <f t="shared" si="3"/>
        <v>15.159999999999854</v>
      </c>
      <c r="H31" s="47">
        <f t="shared" si="3"/>
        <v>979.84000000000015</v>
      </c>
      <c r="I31" s="47">
        <f t="shared" si="3"/>
        <v>1796.4899999999998</v>
      </c>
      <c r="J31" s="47">
        <f t="shared" si="3"/>
        <v>-3367.25</v>
      </c>
      <c r="K31" s="47">
        <f t="shared" si="3"/>
        <v>-3876.5600000000013</v>
      </c>
      <c r="L31" s="47">
        <f t="shared" si="3"/>
        <v>1799.4899999999998</v>
      </c>
      <c r="M31" s="47">
        <f t="shared" si="3"/>
        <v>736.93000000000029</v>
      </c>
      <c r="N31" s="47">
        <f t="shared" si="3"/>
        <v>1462.75</v>
      </c>
      <c r="P31" s="57">
        <f>SUM(C31:N31)</f>
        <v>-2118.7000000000016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9"/>
  <sheetViews>
    <sheetView workbookViewId="0">
      <selection activeCell="G28" sqref="G2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5">
        <f>SUM(C6:N6)</f>
        <v>95</v>
      </c>
    </row>
    <row r="7" spans="2:16" x14ac:dyDescent="0.3">
      <c r="B7" s="9" t="s">
        <v>21</v>
      </c>
      <c r="C7" s="37">
        <v>19</v>
      </c>
      <c r="D7" s="37">
        <v>20</v>
      </c>
      <c r="E7" s="37">
        <v>20</v>
      </c>
      <c r="F7" s="37">
        <v>21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5">
        <f>SUM(C7:N7)</f>
        <v>99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1</v>
      </c>
      <c r="E8" s="59">
        <f t="shared" si="0"/>
        <v>1</v>
      </c>
      <c r="F8" s="59">
        <f t="shared" si="0"/>
        <v>2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19</v>
      </c>
      <c r="D11" s="11">
        <v>20</v>
      </c>
      <c r="E11" s="11">
        <v>20.5</v>
      </c>
      <c r="F11" s="11">
        <v>21</v>
      </c>
      <c r="G11" s="11">
        <v>19</v>
      </c>
      <c r="H11" s="11"/>
      <c r="I11" s="11"/>
      <c r="J11" s="11"/>
      <c r="K11" s="11"/>
      <c r="L11" s="11"/>
      <c r="M11" s="11"/>
      <c r="N11" s="11"/>
      <c r="P11" s="56">
        <f>SUM(C11:N11)</f>
        <v>99.5</v>
      </c>
    </row>
    <row r="12" spans="2:16" x14ac:dyDescent="0.3">
      <c r="B12" s="9" t="s">
        <v>16</v>
      </c>
      <c r="C12" s="12">
        <v>3</v>
      </c>
      <c r="D12" s="12"/>
      <c r="E12" s="12">
        <v>0.5</v>
      </c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9102</v>
      </c>
      <c r="D17" s="10">
        <f>D11*Params!$C$6*(1-Params!$C$3)-Params!$C$4</f>
        <v>9585</v>
      </c>
      <c r="E17" s="10">
        <f>E11*Params!$C$6*(1-Params!$C$3)-Params!$C$4</f>
        <v>9826.5</v>
      </c>
      <c r="F17" s="10">
        <f>F11*Params!$C$6*(1-Params!$C$3)-Params!$C$4</f>
        <v>10068</v>
      </c>
      <c r="G17" s="10">
        <f>G11*Params!$C$6*(1-Params!$C$3)-Params!$C$4</f>
        <v>9102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47683.5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9102</v>
      </c>
      <c r="D19" s="28">
        <f t="shared" si="1"/>
        <v>9585</v>
      </c>
      <c r="E19" s="28">
        <f t="shared" si="1"/>
        <v>9826.5</v>
      </c>
      <c r="F19" s="28">
        <f t="shared" si="1"/>
        <v>10068</v>
      </c>
      <c r="G19" s="28">
        <f t="shared" si="1"/>
        <v>9102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47683.5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5457.07</v>
      </c>
      <c r="D22" s="10">
        <v>5457.07</v>
      </c>
      <c r="E22" s="10">
        <v>5457.07</v>
      </c>
      <c r="F22" s="10">
        <v>5457.07</v>
      </c>
      <c r="G22" s="10">
        <v>5457.07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27285.35</v>
      </c>
    </row>
    <row r="23" spans="2:16" x14ac:dyDescent="0.3">
      <c r="B23" s="9" t="s">
        <v>8</v>
      </c>
      <c r="C23" s="10">
        <f>1210.32+2278.84</f>
        <v>3489.16</v>
      </c>
      <c r="D23" s="10">
        <f>1210.32+2286.73</f>
        <v>3497.05</v>
      </c>
      <c r="E23" s="10">
        <f>1210.32+2281.48</f>
        <v>3491.8</v>
      </c>
      <c r="F23" s="10">
        <f>1210.32+2280.16</f>
        <v>3490.4799999999996</v>
      </c>
      <c r="G23" s="10">
        <f>1210.32+2278.84</f>
        <v>3489.16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17457.650000000001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43">
        <f>SUM(C24:N24)</f>
        <v>0</v>
      </c>
    </row>
    <row r="25" spans="2:16" x14ac:dyDescent="0.3">
      <c r="B25" s="8" t="s">
        <v>3</v>
      </c>
      <c r="C25" s="44">
        <f t="shared" ref="C25:N25" si="2">SUM(C22:C24)</f>
        <v>8946.23</v>
      </c>
      <c r="D25" s="44">
        <f t="shared" si="2"/>
        <v>8954.119999999999</v>
      </c>
      <c r="E25" s="44">
        <f t="shared" si="2"/>
        <v>8948.869999999999</v>
      </c>
      <c r="F25" s="44">
        <f t="shared" si="2"/>
        <v>8947.5499999999993</v>
      </c>
      <c r="G25" s="44">
        <f t="shared" si="2"/>
        <v>8946.23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44743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65" t="s">
        <v>42</v>
      </c>
      <c r="C27" s="66">
        <v>200</v>
      </c>
      <c r="D27" s="66">
        <v>200</v>
      </c>
      <c r="E27" s="66">
        <v>200</v>
      </c>
      <c r="F27" s="66">
        <v>200</v>
      </c>
      <c r="G27" s="66">
        <v>200</v>
      </c>
      <c r="H27" s="66"/>
      <c r="I27" s="66"/>
      <c r="J27" s="66"/>
      <c r="K27" s="66"/>
      <c r="L27" s="66"/>
      <c r="M27" s="66"/>
      <c r="N27" s="66"/>
      <c r="P27" s="67">
        <f>SUM(C27:N27)</f>
        <v>1000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C19-C25</f>
        <v>155.77000000000044</v>
      </c>
      <c r="D29" s="47">
        <f t="shared" si="3"/>
        <v>630.88000000000102</v>
      </c>
      <c r="E29" s="47">
        <f t="shared" si="3"/>
        <v>877.63000000000102</v>
      </c>
      <c r="F29" s="47">
        <f t="shared" si="3"/>
        <v>1120.4500000000007</v>
      </c>
      <c r="G29" s="47">
        <f t="shared" si="3"/>
        <v>155.77000000000044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7">
        <f>SUM(C29:N29)</f>
        <v>2940.5000000000036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B13" sqref="B13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510</v>
      </c>
    </row>
    <row r="6" spans="2:3" ht="31.2" customHeight="1" x14ac:dyDescent="0.3">
      <c r="B6" s="64" t="s">
        <v>41</v>
      </c>
      <c r="C6" s="33">
        <v>525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SUM('2023'!P27)+('2024'!P31)+'2025'!P29</f>
        <v>8482.4200000000092</v>
      </c>
    </row>
    <row r="4" spans="2:3" ht="16.95" customHeight="1" x14ac:dyDescent="0.3">
      <c r="B4" s="38" t="s">
        <v>37</v>
      </c>
      <c r="C4" s="40">
        <f>'2023'!P12+'2024'!P12+'2025'!P12</f>
        <v>42</v>
      </c>
    </row>
    <row r="5" spans="2:3" x14ac:dyDescent="0.3">
      <c r="B5" s="38" t="s">
        <v>44</v>
      </c>
      <c r="C5" s="40">
        <f>(27*2.08)-C4-0.16</f>
        <v>14.000000000000004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2025-06-05T10:36:31Z</dcterms:modified>
</cp:coreProperties>
</file>