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4"/>
  </bookViews>
  <sheets>
    <sheet name="2023" sheetId="15" r:id="rId1"/>
    <sheet name="2024" sheetId="16" r:id="rId2"/>
    <sheet name="2025" sheetId="17" r:id="rId3"/>
    <sheet name="Params" sheetId="11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 localSheetId="2">'2025'!$B$18</definedName>
    <definedName name="ENTREE_ASTREINT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'2023'!$B$33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'2023'!$B$33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'2023'!$B$32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'2023'!$B$30</definedName>
    <definedName name="SOLDE" localSheetId="1">'2024'!$B$29</definedName>
    <definedName name="SOLDE" localSheetId="2">'2025'!$B$29</definedName>
    <definedName name="SOLDE">#REF!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 localSheetId="2">'2025'!$B$26</definedName>
    <definedName name="SORTIES_CHARGES_SOCIALES_PATRONALES">#REF!</definedName>
    <definedName name="SORTIES_FRAIS_KM" localSheetId="0">'2023'!$B$27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 localSheetId="2">'2025'!$B$25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 localSheetId="2">'2025'!$B$24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 localSheetId="2">'2025'!$B$23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'2023'!$B$28</definedName>
    <definedName name="TOTAL_SORTIES" localSheetId="1">'2024'!$B$27</definedName>
    <definedName name="TOTAL_SORTIES" localSheetId="2">'2025'!$B$27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F26" i="17"/>
  <c r="F25" i="17"/>
  <c r="F24" i="17"/>
  <c r="F23" i="17"/>
  <c r="F17" i="17"/>
  <c r="E25" i="17" l="1"/>
  <c r="L29" i="17"/>
  <c r="K29" i="17"/>
  <c r="N27" i="17"/>
  <c r="M27" i="17"/>
  <c r="L27" i="17"/>
  <c r="K27" i="17"/>
  <c r="J27" i="17"/>
  <c r="I27" i="17"/>
  <c r="H27" i="17"/>
  <c r="G27" i="17"/>
  <c r="F27" i="17"/>
  <c r="E26" i="17"/>
  <c r="D26" i="17"/>
  <c r="C26" i="17"/>
  <c r="P26" i="17" s="1"/>
  <c r="E24" i="17"/>
  <c r="D24" i="17"/>
  <c r="D27" i="17" s="1"/>
  <c r="C24" i="17"/>
  <c r="P24" i="17" s="1"/>
  <c r="E23" i="17"/>
  <c r="E27" i="17" s="1"/>
  <c r="D23" i="17"/>
  <c r="D25" i="17" s="1"/>
  <c r="C23" i="17"/>
  <c r="P23" i="17" s="1"/>
  <c r="P22" i="17"/>
  <c r="N19" i="17"/>
  <c r="N29" i="17" s="1"/>
  <c r="M19" i="17"/>
  <c r="M29" i="17" s="1"/>
  <c r="L19" i="17"/>
  <c r="K19" i="17"/>
  <c r="J19" i="17"/>
  <c r="J29" i="17" s="1"/>
  <c r="I19" i="17"/>
  <c r="I29" i="17" s="1"/>
  <c r="H19" i="17"/>
  <c r="H29" i="17" s="1"/>
  <c r="G19" i="17"/>
  <c r="G29" i="17" s="1"/>
  <c r="F19" i="17"/>
  <c r="E19" i="17"/>
  <c r="E29" i="17" s="1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6" i="16"/>
  <c r="M26" i="16"/>
  <c r="L26" i="16"/>
  <c r="K26" i="16"/>
  <c r="J26" i="16"/>
  <c r="I26" i="16"/>
  <c r="H26" i="16"/>
  <c r="G26" i="16"/>
  <c r="F26" i="16"/>
  <c r="E26" i="16"/>
  <c r="D26" i="16"/>
  <c r="P26" i="16" s="1"/>
  <c r="C26" i="16"/>
  <c r="M25" i="16"/>
  <c r="J25" i="16"/>
  <c r="I25" i="16"/>
  <c r="E25" i="16"/>
  <c r="N24" i="16"/>
  <c r="M24" i="16"/>
  <c r="L24" i="16"/>
  <c r="K24" i="16"/>
  <c r="J24" i="16"/>
  <c r="I24" i="16"/>
  <c r="H24" i="16"/>
  <c r="G24" i="16"/>
  <c r="F24" i="16"/>
  <c r="P24" i="16" s="1"/>
  <c r="E24" i="16"/>
  <c r="D24" i="16"/>
  <c r="C24" i="16"/>
  <c r="N23" i="16"/>
  <c r="M23" i="16"/>
  <c r="M27" i="16" s="1"/>
  <c r="L23" i="16"/>
  <c r="K23" i="16"/>
  <c r="J23" i="16"/>
  <c r="J27" i="16" s="1"/>
  <c r="J29" i="16" s="1"/>
  <c r="I23" i="16"/>
  <c r="I27" i="16" s="1"/>
  <c r="H23" i="16"/>
  <c r="H25" i="16" s="1"/>
  <c r="H27" i="16" s="1"/>
  <c r="G23" i="16"/>
  <c r="G25" i="16" s="1"/>
  <c r="G27" i="16" s="1"/>
  <c r="F23" i="16"/>
  <c r="E23" i="16"/>
  <c r="E27" i="16" s="1"/>
  <c r="D23" i="16"/>
  <c r="C23" i="16"/>
  <c r="P22" i="16"/>
  <c r="J19" i="16"/>
  <c r="I19" i="16"/>
  <c r="I29" i="16" s="1"/>
  <c r="P18" i="16"/>
  <c r="P17" i="16"/>
  <c r="N17" i="16"/>
  <c r="N19" i="16" s="1"/>
  <c r="M17" i="16"/>
  <c r="M19" i="16" s="1"/>
  <c r="L17" i="16"/>
  <c r="L19" i="16" s="1"/>
  <c r="K17" i="16"/>
  <c r="K19" i="16" s="1"/>
  <c r="J17" i="16"/>
  <c r="I17" i="16"/>
  <c r="H17" i="16"/>
  <c r="H19" i="16" s="1"/>
  <c r="G17" i="16"/>
  <c r="G19" i="16" s="1"/>
  <c r="G29" i="16" s="1"/>
  <c r="F17" i="16"/>
  <c r="F19" i="16" s="1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P33" i="15"/>
  <c r="P32" i="15"/>
  <c r="P35" i="15" s="1"/>
  <c r="P36" i="15" s="1"/>
  <c r="N27" i="15" s="1"/>
  <c r="P27" i="15" s="1"/>
  <c r="G30" i="15"/>
  <c r="C30" i="15"/>
  <c r="J28" i="15"/>
  <c r="I28" i="15"/>
  <c r="H28" i="15"/>
  <c r="G28" i="15"/>
  <c r="F28" i="15"/>
  <c r="E28" i="15"/>
  <c r="D28" i="15"/>
  <c r="C28" i="15"/>
  <c r="P26" i="15"/>
  <c r="N26" i="15"/>
  <c r="M26" i="15"/>
  <c r="L26" i="15"/>
  <c r="K26" i="15"/>
  <c r="M25" i="15"/>
  <c r="L25" i="15"/>
  <c r="N24" i="15"/>
  <c r="M24" i="15"/>
  <c r="P24" i="15" s="1"/>
  <c r="L24" i="15"/>
  <c r="K24" i="15"/>
  <c r="N23" i="15"/>
  <c r="M23" i="15"/>
  <c r="M28" i="15" s="1"/>
  <c r="L23" i="15"/>
  <c r="L28" i="15" s="1"/>
  <c r="K23" i="15"/>
  <c r="K25" i="15" s="1"/>
  <c r="P22" i="15"/>
  <c r="M19" i="15"/>
  <c r="M30" i="15" s="1"/>
  <c r="L19" i="15"/>
  <c r="L30" i="15" s="1"/>
  <c r="J19" i="15"/>
  <c r="J30" i="15" s="1"/>
  <c r="I19" i="15"/>
  <c r="I30" i="15" s="1"/>
  <c r="H19" i="15"/>
  <c r="H30" i="15" s="1"/>
  <c r="G19" i="15"/>
  <c r="F19" i="15"/>
  <c r="F30" i="15" s="1"/>
  <c r="E19" i="15"/>
  <c r="E30" i="15" s="1"/>
  <c r="D19" i="15"/>
  <c r="D30" i="15" s="1"/>
  <c r="C19" i="15"/>
  <c r="P18" i="15"/>
  <c r="N17" i="15"/>
  <c r="N19" i="15" s="1"/>
  <c r="M17" i="15"/>
  <c r="L17" i="15"/>
  <c r="K17" i="15"/>
  <c r="K19" i="15" s="1"/>
  <c r="P14" i="15"/>
  <c r="P13" i="15"/>
  <c r="P12" i="15"/>
  <c r="C4" i="13" s="1"/>
  <c r="P11" i="15"/>
  <c r="N8" i="15"/>
  <c r="M8" i="15"/>
  <c r="L8" i="15"/>
  <c r="K8" i="15"/>
  <c r="P8" i="15" s="1"/>
  <c r="J8" i="15"/>
  <c r="I8" i="15"/>
  <c r="P7" i="15"/>
  <c r="P6" i="15"/>
  <c r="F29" i="17" l="1"/>
  <c r="P8" i="17"/>
  <c r="P19" i="15"/>
  <c r="C27" i="16"/>
  <c r="K27" i="16"/>
  <c r="K29" i="16" s="1"/>
  <c r="P19" i="16"/>
  <c r="C29" i="16"/>
  <c r="E29" i="16"/>
  <c r="M29" i="16"/>
  <c r="P25" i="15"/>
  <c r="F27" i="16"/>
  <c r="F29" i="16" s="1"/>
  <c r="D29" i="17"/>
  <c r="P19" i="17"/>
  <c r="H29" i="16"/>
  <c r="N25" i="15"/>
  <c r="N28" i="15" s="1"/>
  <c r="N30" i="15" s="1"/>
  <c r="C25" i="16"/>
  <c r="K25" i="16"/>
  <c r="K28" i="15"/>
  <c r="P28" i="15" s="1"/>
  <c r="D25" i="16"/>
  <c r="D27" i="16" s="1"/>
  <c r="D29" i="16" s="1"/>
  <c r="L25" i="16"/>
  <c r="L27" i="16" s="1"/>
  <c r="L29" i="16" s="1"/>
  <c r="P23" i="15"/>
  <c r="P23" i="16"/>
  <c r="P17" i="17"/>
  <c r="C25" i="17"/>
  <c r="P25" i="17" s="1"/>
  <c r="P17" i="15"/>
  <c r="F25" i="16"/>
  <c r="N25" i="16"/>
  <c r="N27" i="16" s="1"/>
  <c r="N29" i="16" s="1"/>
  <c r="P29" i="16" l="1"/>
  <c r="P27" i="16"/>
  <c r="P25" i="16"/>
  <c r="K30" i="15"/>
  <c r="P30" i="15" s="1"/>
  <c r="C27" i="17"/>
  <c r="P27" i="17" l="1"/>
  <c r="C29" i="17"/>
  <c r="P29" i="17" s="1"/>
  <c r="C3" i="13" s="1"/>
</calcChain>
</file>

<file path=xl/comments1.xml><?xml version="1.0" encoding="utf-8"?>
<comments xmlns="http://schemas.openxmlformats.org/spreadsheetml/2006/main">
  <authors>
    <author>PC-HOUDA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<sst xmlns="http://schemas.openxmlformats.org/spreadsheetml/2006/main" count="121" uniqueCount="48">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</sst>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topLeftCell="A2" workbookViewId="0">
      <selection activeCell="N23" sqref="N23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3" width="11" customWidth="1"/>
    <col min="14" max="14" width="18.81640625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5">
      <c r="B1" s="82" t="s">
        <v>10</v>
      </c>
      <c r="P1" s="54"/>
    </row>
    <row r="2" spans="2:16" x14ac:dyDescent="0.3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5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>
        <v>19</v>
      </c>
      <c r="L6" s="11">
        <v>19</v>
      </c>
      <c r="M6" s="11">
        <v>19</v>
      </c>
      <c r="N6" s="71">
        <v>19</v>
      </c>
      <c r="O6" s="53"/>
      <c r="P6" s="79">
        <f>SUM(C6:N6)</f>
        <v>76</v>
      </c>
    </row>
    <row r="7" spans="2:16" ht="15" customHeight="1" x14ac:dyDescent="0.35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>
        <v>20</v>
      </c>
      <c r="L7" s="11">
        <v>22</v>
      </c>
      <c r="M7" s="11">
        <v>21</v>
      </c>
      <c r="N7" s="11">
        <v>19</v>
      </c>
      <c r="O7" s="53"/>
      <c r="P7" s="79">
        <f>SUM(C7:N7)</f>
        <v>82</v>
      </c>
    </row>
    <row r="8" spans="2:16" ht="15" customHeight="1" x14ac:dyDescent="0.35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1</v>
      </c>
      <c r="L8" s="65">
        <f t="shared" si="0"/>
        <v>3</v>
      </c>
      <c r="M8" s="65">
        <f t="shared" si="0"/>
        <v>2</v>
      </c>
      <c r="N8" s="65">
        <f t="shared" si="0"/>
        <v>0</v>
      </c>
      <c r="O8" s="53"/>
      <c r="P8" s="79">
        <f>SUM(C8:N8)</f>
        <v>6</v>
      </c>
    </row>
    <row r="9" spans="2:16" ht="15" customHeight="1" x14ac:dyDescent="0.3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5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>
        <v>20</v>
      </c>
      <c r="L11" s="60">
        <v>22</v>
      </c>
      <c r="M11" s="60">
        <v>21</v>
      </c>
      <c r="N11" s="60">
        <v>19</v>
      </c>
      <c r="P11" s="79">
        <f>SUM(C11:N11)</f>
        <v>82</v>
      </c>
    </row>
    <row r="12" spans="2:16" ht="15" customHeight="1" x14ac:dyDescent="0.35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>
        <v>1</v>
      </c>
      <c r="P12" s="79">
        <f>SUM(C12:N12)</f>
        <v>1</v>
      </c>
    </row>
    <row r="13" spans="2:16" ht="15" customHeight="1" x14ac:dyDescent="0.3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5">
      <c r="B17" s="10" t="s">
        <v>6</v>
      </c>
      <c r="C17" s="14"/>
      <c r="D17" s="14"/>
      <c r="E17" s="14"/>
      <c r="F17" s="14"/>
      <c r="G17" s="14"/>
      <c r="H17" s="14"/>
      <c r="I17" s="81"/>
      <c r="J17" s="81"/>
      <c r="K17" s="81">
        <f>K11*Params!$C$5*(1-Params!$C$3)-Params!$C$4</f>
        <v>13218</v>
      </c>
      <c r="L17" s="81">
        <f>L11*Params!$C$5*(1-Params!$C$3)-Params!$C$4</f>
        <v>14542.800000000001</v>
      </c>
      <c r="M17" s="81">
        <f>M11*Params!$C$5*(1-Params!$C$3)-Params!$C$4</f>
        <v>13880.400000000001</v>
      </c>
      <c r="N17" s="81">
        <f>N11*Params!$C$5*(1-Params!$C$3)-Params!$C$4</f>
        <v>12555.6</v>
      </c>
      <c r="O17" s="4"/>
      <c r="P17" s="45">
        <f>SUM(C17:N17)</f>
        <v>54196.800000000003</v>
      </c>
    </row>
    <row r="18" spans="2:16" ht="15" customHeight="1" x14ac:dyDescent="0.3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5">
      <c r="B19" s="2" t="s">
        <v>2</v>
      </c>
      <c r="C19" s="37">
        <f t="shared" ref="C19:N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13218</v>
      </c>
      <c r="L19" s="37">
        <f t="shared" si="1"/>
        <v>14542.800000000001</v>
      </c>
      <c r="M19" s="37">
        <f t="shared" si="1"/>
        <v>13880.400000000001</v>
      </c>
      <c r="N19" s="37">
        <f t="shared" si="1"/>
        <v>12555.6</v>
      </c>
      <c r="O19" s="5"/>
      <c r="P19" s="46">
        <f>SUM(C19:N19)</f>
        <v>54196.800000000003</v>
      </c>
    </row>
    <row r="20" spans="2:16" ht="15" customHeight="1" x14ac:dyDescent="0.3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5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>
        <v>5562.18</v>
      </c>
      <c r="L22" s="11">
        <v>6014.19</v>
      </c>
      <c r="M22" s="11">
        <v>6014.19</v>
      </c>
      <c r="N22" s="11">
        <v>6014.19</v>
      </c>
      <c r="O22" s="4"/>
      <c r="P22" s="45">
        <f t="shared" ref="P22:P28" si="2">SUM(C22:N22)</f>
        <v>23604.749999999996</v>
      </c>
    </row>
    <row r="23" spans="2:16" s="76" customFormat="1" x14ac:dyDescent="0.35">
      <c r="B23" s="73" t="s">
        <v>41</v>
      </c>
      <c r="C23" s="77"/>
      <c r="D23" s="77"/>
      <c r="E23" s="77"/>
      <c r="F23" s="77"/>
      <c r="G23" s="77"/>
      <c r="H23" s="77"/>
      <c r="I23" s="77"/>
      <c r="J23" s="77"/>
      <c r="K23" s="77">
        <f>(6938.11/5)*(1-9.7%)</f>
        <v>1253.0226659999998</v>
      </c>
      <c r="L23" s="77">
        <f>(7500.76/5)*(1-9.7%)</f>
        <v>1354.637256</v>
      </c>
      <c r="M23" s="77">
        <f>(7500.76/5)*(1-9.7%)</f>
        <v>1354.637256</v>
      </c>
      <c r="N23" s="77">
        <f>(7500.76/5)*(1-9.7%)</f>
        <v>1354.637256</v>
      </c>
      <c r="O23" s="74"/>
      <c r="P23" s="75">
        <f t="shared" si="2"/>
        <v>5316.9344339999998</v>
      </c>
    </row>
    <row r="24" spans="2:16" x14ac:dyDescent="0.35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>
        <f>(6938.11/5)*9.7%</f>
        <v>134.59933399999997</v>
      </c>
      <c r="L24" s="13">
        <f>(7500.76/5)*9.7%</f>
        <v>145.51474399999998</v>
      </c>
      <c r="M24" s="13">
        <f>(7500.76/5)*9.7%</f>
        <v>145.51474399999998</v>
      </c>
      <c r="N24" s="13">
        <f>(7500.76/5)*9.7%</f>
        <v>145.51474399999998</v>
      </c>
      <c r="O24" s="4"/>
      <c r="P24" s="45">
        <f t="shared" si="2"/>
        <v>571.14356599999985</v>
      </c>
    </row>
    <row r="25" spans="2:16" ht="15" customHeight="1" x14ac:dyDescent="0.35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>
        <f>K23*0.02</f>
        <v>25.060453319999997</v>
      </c>
      <c r="L25" s="13">
        <f>L23*0.02</f>
        <v>27.09274512</v>
      </c>
      <c r="M25" s="13">
        <f>M23*0.02</f>
        <v>27.09274512</v>
      </c>
      <c r="N25" s="13">
        <f>N23*0.02</f>
        <v>27.09274512</v>
      </c>
      <c r="O25" s="4"/>
      <c r="P25" s="45">
        <f t="shared" si="2"/>
        <v>106.33868868</v>
      </c>
    </row>
    <row r="26" spans="2:16" ht="15" customHeight="1" x14ac:dyDescent="0.35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>
        <f>1375.93+2995.25</f>
        <v>4371.18</v>
      </c>
      <c r="L26" s="11">
        <f>1486.57+3235.45</f>
        <v>4722.0199999999995</v>
      </c>
      <c r="M26" s="11">
        <f>1486.57+3235.45</f>
        <v>4722.0199999999995</v>
      </c>
      <c r="N26" s="11">
        <f>1486.57+3235.45</f>
        <v>4722.0199999999995</v>
      </c>
      <c r="O26" s="4"/>
      <c r="P26" s="45">
        <f t="shared" si="2"/>
        <v>18537.240000000002</v>
      </c>
    </row>
    <row r="27" spans="2:16" ht="15" customHeight="1" x14ac:dyDescent="0.35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>
        <v>320.64</v>
      </c>
      <c r="L27" s="11">
        <v>342.70400000000001</v>
      </c>
      <c r="M27" s="11">
        <v>331.67200000000003</v>
      </c>
      <c r="N27" s="71">
        <f>N33+P36</f>
        <v>605.29599999999971</v>
      </c>
      <c r="O27" s="4"/>
      <c r="P27" s="45">
        <f t="shared" si="2"/>
        <v>1600.3119999999999</v>
      </c>
    </row>
    <row r="28" spans="2:16" ht="15" customHeight="1" x14ac:dyDescent="0.35">
      <c r="B28" s="8" t="s">
        <v>3</v>
      </c>
      <c r="C28" s="9">
        <f t="shared" ref="C28:N28" si="3">SUM(C22:C27)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11666.68245332</v>
      </c>
      <c r="L28" s="9">
        <f t="shared" si="3"/>
        <v>12606.158745119998</v>
      </c>
      <c r="M28" s="9">
        <f t="shared" si="3"/>
        <v>12595.126745119998</v>
      </c>
      <c r="N28" s="9">
        <f t="shared" si="3"/>
        <v>12868.750745119998</v>
      </c>
      <c r="O28" s="4"/>
      <c r="P28" s="49">
        <f t="shared" si="2"/>
        <v>49736.718688679997</v>
      </c>
    </row>
    <row r="29" spans="2:16" ht="15" customHeight="1" x14ac:dyDescent="0.3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5">
      <c r="B30" s="40" t="s">
        <v>28</v>
      </c>
      <c r="C30" s="41">
        <f t="shared" ref="C30:N30" si="4">+C19-C28</f>
        <v>0</v>
      </c>
      <c r="D30" s="41">
        <f t="shared" si="4"/>
        <v>0</v>
      </c>
      <c r="E30" s="41">
        <f t="shared" si="4"/>
        <v>0</v>
      </c>
      <c r="F30" s="41">
        <f t="shared" si="4"/>
        <v>0</v>
      </c>
      <c r="G30" s="41">
        <f t="shared" si="4"/>
        <v>0</v>
      </c>
      <c r="H30" s="41">
        <f t="shared" si="4"/>
        <v>0</v>
      </c>
      <c r="I30" s="41">
        <f t="shared" si="4"/>
        <v>0</v>
      </c>
      <c r="J30" s="41">
        <f t="shared" si="4"/>
        <v>0</v>
      </c>
      <c r="K30" s="41">
        <f t="shared" si="4"/>
        <v>1551.3175466800003</v>
      </c>
      <c r="L30" s="41">
        <f t="shared" si="4"/>
        <v>1936.6412548800035</v>
      </c>
      <c r="M30" s="41">
        <f t="shared" si="4"/>
        <v>1285.2732548800032</v>
      </c>
      <c r="N30" s="41">
        <f t="shared" si="4"/>
        <v>-313.15074511999774</v>
      </c>
      <c r="O30" s="4"/>
      <c r="P30" s="51">
        <f>SUM(C30:N30)</f>
        <v>4460.0813113200093</v>
      </c>
    </row>
    <row r="31" spans="2:16" ht="15" customHeigh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5">
      <c r="B32" s="78" t="s">
        <v>39</v>
      </c>
      <c r="C32" s="17"/>
      <c r="D32" s="17"/>
      <c r="E32" s="17"/>
      <c r="F32" s="17"/>
      <c r="G32" s="17"/>
      <c r="H32" s="17"/>
      <c r="I32" s="17"/>
      <c r="J32" s="17"/>
      <c r="K32" s="17">
        <v>560</v>
      </c>
      <c r="L32" s="17">
        <v>616</v>
      </c>
      <c r="M32" s="17">
        <v>588</v>
      </c>
      <c r="N32" s="17">
        <v>532</v>
      </c>
      <c r="O32" s="4"/>
      <c r="P32" s="52">
        <f>SUM(C32:N32)</f>
        <v>2296</v>
      </c>
    </row>
    <row r="33" spans="2:18" ht="15" customHeight="1" x14ac:dyDescent="0.35">
      <c r="B33" s="78" t="s">
        <v>40</v>
      </c>
      <c r="C33" s="17"/>
      <c r="D33" s="17"/>
      <c r="E33" s="17"/>
      <c r="F33" s="17"/>
      <c r="G33" s="17"/>
      <c r="H33" s="17"/>
      <c r="I33" s="17"/>
      <c r="J33" s="17"/>
      <c r="K33" s="17">
        <v>320.64</v>
      </c>
      <c r="L33" s="17">
        <v>342.70400000000001</v>
      </c>
      <c r="M33" s="17">
        <v>331.67200000000003</v>
      </c>
      <c r="N33" s="17">
        <v>209.61</v>
      </c>
      <c r="O33" s="4"/>
      <c r="P33" s="52">
        <f>SUM(C33:N33)</f>
        <v>1204.6260000000002</v>
      </c>
    </row>
    <row r="34" spans="2:18" ht="15" customHeight="1" x14ac:dyDescent="0.35">
      <c r="R34" s="4"/>
    </row>
    <row r="35" spans="2:18" x14ac:dyDescent="0.35">
      <c r="N35" s="17" t="s">
        <v>45</v>
      </c>
      <c r="P35" s="52">
        <f>P32*0.697</f>
        <v>1600.3119999999999</v>
      </c>
    </row>
    <row r="36" spans="2:18" x14ac:dyDescent="0.35">
      <c r="N36" s="17" t="s">
        <v>46</v>
      </c>
      <c r="P36" s="52">
        <f>P35-P33</f>
        <v>395.68599999999969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1"/>
  <sheetViews>
    <sheetView workbookViewId="0">
      <selection activeCell="L33" sqref="L33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5">
      <c r="B1" s="82" t="s">
        <v>10</v>
      </c>
      <c r="P1" s="54"/>
    </row>
    <row r="2" spans="2:16" x14ac:dyDescent="0.3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5" customHeight="1" x14ac:dyDescent="0.3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5" customHeight="1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5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20</v>
      </c>
      <c r="N6" s="71">
        <v>20</v>
      </c>
      <c r="O6" s="53"/>
      <c r="P6" s="79">
        <f>SUM(C6:N6)</f>
        <v>240</v>
      </c>
    </row>
    <row r="7" spans="2:16" ht="15" customHeight="1" x14ac:dyDescent="0.35">
      <c r="B7" s="10" t="s">
        <v>31</v>
      </c>
      <c r="C7" s="11">
        <v>22</v>
      </c>
      <c r="D7" s="11">
        <v>21</v>
      </c>
      <c r="E7" s="11">
        <v>20</v>
      </c>
      <c r="F7" s="11">
        <v>21</v>
      </c>
      <c r="G7" s="11">
        <v>17</v>
      </c>
      <c r="H7" s="11">
        <v>20</v>
      </c>
      <c r="I7" s="11">
        <v>23</v>
      </c>
      <c r="J7" s="11">
        <v>12</v>
      </c>
      <c r="K7" s="11">
        <v>21</v>
      </c>
      <c r="L7" s="11">
        <v>23</v>
      </c>
      <c r="M7" s="11">
        <v>19</v>
      </c>
      <c r="N7" s="11">
        <v>15</v>
      </c>
      <c r="O7" s="53"/>
      <c r="P7" s="79">
        <f>SUM(C7:N7)</f>
        <v>234</v>
      </c>
    </row>
    <row r="8" spans="2:16" ht="15" customHeight="1" x14ac:dyDescent="0.35">
      <c r="B8" s="15" t="s">
        <v>32</v>
      </c>
      <c r="C8" s="65">
        <f t="shared" ref="C8:N8" si="0">C7-C6</f>
        <v>2</v>
      </c>
      <c r="D8" s="65">
        <f t="shared" si="0"/>
        <v>1</v>
      </c>
      <c r="E8" s="65">
        <f t="shared" si="0"/>
        <v>0</v>
      </c>
      <c r="F8" s="65">
        <f t="shared" si="0"/>
        <v>1</v>
      </c>
      <c r="G8" s="65">
        <f t="shared" si="0"/>
        <v>-3</v>
      </c>
      <c r="H8" s="65">
        <f t="shared" si="0"/>
        <v>0</v>
      </c>
      <c r="I8" s="65">
        <f t="shared" si="0"/>
        <v>3</v>
      </c>
      <c r="J8" s="65">
        <f t="shared" si="0"/>
        <v>-8</v>
      </c>
      <c r="K8" s="65">
        <f t="shared" si="0"/>
        <v>1</v>
      </c>
      <c r="L8" s="65">
        <f t="shared" si="0"/>
        <v>3</v>
      </c>
      <c r="M8" s="65">
        <f t="shared" si="0"/>
        <v>-1</v>
      </c>
      <c r="N8" s="65">
        <f t="shared" si="0"/>
        <v>-5</v>
      </c>
      <c r="O8" s="53"/>
      <c r="P8" s="79">
        <f>SUM(C8:N8)</f>
        <v>-6</v>
      </c>
    </row>
    <row r="9" spans="2:16" ht="15" customHeight="1" x14ac:dyDescent="0.3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5">
      <c r="B11" s="16" t="s">
        <v>23</v>
      </c>
      <c r="C11" s="60">
        <v>22</v>
      </c>
      <c r="D11" s="60">
        <v>21</v>
      </c>
      <c r="E11" s="60">
        <v>20</v>
      </c>
      <c r="F11" s="60">
        <v>21</v>
      </c>
      <c r="G11" s="60">
        <v>17</v>
      </c>
      <c r="H11" s="60">
        <v>20</v>
      </c>
      <c r="I11" s="60">
        <v>23</v>
      </c>
      <c r="J11" s="60">
        <v>12</v>
      </c>
      <c r="K11" s="60">
        <v>21</v>
      </c>
      <c r="L11" s="60">
        <v>23</v>
      </c>
      <c r="M11" s="60">
        <v>19</v>
      </c>
      <c r="N11" s="60">
        <v>15</v>
      </c>
      <c r="P11" s="79">
        <f>SUM(C11:N11)</f>
        <v>234</v>
      </c>
    </row>
    <row r="12" spans="2:16" ht="15" customHeight="1" x14ac:dyDescent="0.35">
      <c r="B12" s="10" t="s">
        <v>25</v>
      </c>
      <c r="C12" s="61"/>
      <c r="D12" s="61"/>
      <c r="E12" s="61">
        <v>1</v>
      </c>
      <c r="F12" s="61"/>
      <c r="G12" s="61">
        <v>2</v>
      </c>
      <c r="H12" s="61"/>
      <c r="I12" s="61"/>
      <c r="J12" s="61">
        <v>9</v>
      </c>
      <c r="K12" s="61"/>
      <c r="L12" s="61"/>
      <c r="M12" s="61"/>
      <c r="N12" s="61">
        <v>6</v>
      </c>
      <c r="P12" s="79">
        <f>SUM(C12:N12)</f>
        <v>18</v>
      </c>
    </row>
    <row r="13" spans="2:16" ht="15" customHeight="1" x14ac:dyDescent="0.3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5">
      <c r="B17" s="10" t="s">
        <v>6</v>
      </c>
      <c r="C17" s="14">
        <f>C11*Params!$C$5*(1-Params!$C$3)-Params!$C$4</f>
        <v>14542.800000000001</v>
      </c>
      <c r="D17" s="14">
        <f>D11*Params!$C$5*(1-Params!$C$3)-Params!$C$4</f>
        <v>13880.400000000001</v>
      </c>
      <c r="E17" s="14">
        <f>E11*Params!$C$5*(1-Params!$C$3)-Params!$C$4</f>
        <v>13218</v>
      </c>
      <c r="F17" s="14">
        <f>F11*Params!$C$5*(1-Params!$C$3)-Params!$C$4</f>
        <v>13880.400000000001</v>
      </c>
      <c r="G17" s="14">
        <f>G11*Params!$C$5*(1-Params!$C$3)-Params!$C$4</f>
        <v>11230.800000000001</v>
      </c>
      <c r="H17" s="14">
        <f>H11*Params!$C$5*(1-Params!$C$3)-Params!$C$4</f>
        <v>13218</v>
      </c>
      <c r="I17" s="14">
        <f>I11*Params!$C$5*(1-Params!$C$3)-Params!$C$4</f>
        <v>15205.2</v>
      </c>
      <c r="J17" s="14">
        <f>J11*Params!$C$5*(1-Params!$C$3)-Params!$C$4</f>
        <v>7918.8</v>
      </c>
      <c r="K17" s="14">
        <f>K11*Params!$C$5*(1-Params!$C$3)-Params!$C$4</f>
        <v>13880.400000000001</v>
      </c>
      <c r="L17" s="14">
        <f>L11*Params!$C$5*(1-Params!$C$3)-Params!$C$4</f>
        <v>15205.2</v>
      </c>
      <c r="M17" s="14">
        <f>M11*Params!$C$5*(1-Params!$C$3)-Params!$C$4</f>
        <v>12555.6</v>
      </c>
      <c r="N17" s="14">
        <f>N11*Params!$C$5*(1-Params!$C$3)-Params!$C$4</f>
        <v>9906</v>
      </c>
      <c r="O17" s="4"/>
      <c r="P17" s="45">
        <f>SUM(C17:N17)</f>
        <v>154641.60000000003</v>
      </c>
    </row>
    <row r="18" spans="2:18" ht="15" customHeight="1" x14ac:dyDescent="0.3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5">
      <c r="B19" s="2" t="s">
        <v>2</v>
      </c>
      <c r="C19" s="37">
        <f t="shared" ref="C19:N19" si="1">SUM(C17:C18)</f>
        <v>14542.800000000001</v>
      </c>
      <c r="D19" s="37">
        <f t="shared" si="1"/>
        <v>13880.400000000001</v>
      </c>
      <c r="E19" s="37">
        <f t="shared" si="1"/>
        <v>13218</v>
      </c>
      <c r="F19" s="37">
        <f t="shared" si="1"/>
        <v>13880.400000000001</v>
      </c>
      <c r="G19" s="37">
        <f t="shared" si="1"/>
        <v>11230.800000000001</v>
      </c>
      <c r="H19" s="37">
        <f t="shared" si="1"/>
        <v>13218</v>
      </c>
      <c r="I19" s="37">
        <f t="shared" si="1"/>
        <v>15205.2</v>
      </c>
      <c r="J19" s="37">
        <f t="shared" si="1"/>
        <v>7918.8</v>
      </c>
      <c r="K19" s="37">
        <f t="shared" si="1"/>
        <v>13880.400000000001</v>
      </c>
      <c r="L19" s="37">
        <f t="shared" si="1"/>
        <v>15205.2</v>
      </c>
      <c r="M19" s="37">
        <f t="shared" si="1"/>
        <v>12555.6</v>
      </c>
      <c r="N19" s="37">
        <f t="shared" si="1"/>
        <v>9906</v>
      </c>
      <c r="O19" s="5"/>
      <c r="P19" s="46">
        <f>SUM(C19:N19)</f>
        <v>154641.60000000003</v>
      </c>
    </row>
    <row r="20" spans="2:18" ht="15" customHeight="1" x14ac:dyDescent="0.3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5">
      <c r="B22" s="10" t="s">
        <v>8</v>
      </c>
      <c r="C22" s="11">
        <v>6433</v>
      </c>
      <c r="D22" s="11">
        <v>6433</v>
      </c>
      <c r="E22" s="11">
        <v>6433</v>
      </c>
      <c r="F22" s="11">
        <v>6433</v>
      </c>
      <c r="G22" s="11">
        <v>6433</v>
      </c>
      <c r="H22" s="11">
        <v>6433</v>
      </c>
      <c r="I22" s="11">
        <v>6433</v>
      </c>
      <c r="J22" s="11">
        <v>6433</v>
      </c>
      <c r="K22" s="11">
        <v>6433</v>
      </c>
      <c r="L22" s="11">
        <v>6433</v>
      </c>
      <c r="M22" s="11">
        <v>6433</v>
      </c>
      <c r="N22" s="11">
        <v>6433</v>
      </c>
      <c r="O22" s="4"/>
      <c r="P22" s="45">
        <f t="shared" ref="P22:P27" si="2">SUM(C22:N22)</f>
        <v>77196</v>
      </c>
    </row>
    <row r="23" spans="2:18" s="76" customFormat="1" x14ac:dyDescent="0.35">
      <c r="B23" s="73" t="s">
        <v>41</v>
      </c>
      <c r="C23" s="77">
        <f t="shared" ref="C23:N23" si="3">(8027/5)*(1-9.7%)</f>
        <v>1449.6762000000001</v>
      </c>
      <c r="D23" s="77">
        <f t="shared" si="3"/>
        <v>1449.6762000000001</v>
      </c>
      <c r="E23" s="77">
        <f t="shared" si="3"/>
        <v>1449.6762000000001</v>
      </c>
      <c r="F23" s="77">
        <f t="shared" si="3"/>
        <v>1449.6762000000001</v>
      </c>
      <c r="G23" s="77">
        <f t="shared" si="3"/>
        <v>1449.6762000000001</v>
      </c>
      <c r="H23" s="77">
        <f t="shared" si="3"/>
        <v>1449.6762000000001</v>
      </c>
      <c r="I23" s="77">
        <f t="shared" si="3"/>
        <v>1449.6762000000001</v>
      </c>
      <c r="J23" s="77">
        <f t="shared" si="3"/>
        <v>1449.6762000000001</v>
      </c>
      <c r="K23" s="77">
        <f t="shared" si="3"/>
        <v>1449.6762000000001</v>
      </c>
      <c r="L23" s="77">
        <f t="shared" si="3"/>
        <v>1449.6762000000001</v>
      </c>
      <c r="M23" s="77">
        <f t="shared" si="3"/>
        <v>1449.6762000000001</v>
      </c>
      <c r="N23" s="77">
        <f t="shared" si="3"/>
        <v>1449.6762000000001</v>
      </c>
      <c r="O23" s="74"/>
      <c r="P23" s="75">
        <f t="shared" si="2"/>
        <v>17396.114400000002</v>
      </c>
    </row>
    <row r="24" spans="2:18" x14ac:dyDescent="0.35">
      <c r="B24" s="12" t="s">
        <v>42</v>
      </c>
      <c r="C24" s="13">
        <f t="shared" ref="C24:N24" si="4">(8027/5)*9.7%</f>
        <v>155.72379999999998</v>
      </c>
      <c r="D24" s="13">
        <f t="shared" si="4"/>
        <v>155.72379999999998</v>
      </c>
      <c r="E24" s="13">
        <f t="shared" si="4"/>
        <v>155.72379999999998</v>
      </c>
      <c r="F24" s="13">
        <f t="shared" si="4"/>
        <v>155.72379999999998</v>
      </c>
      <c r="G24" s="13">
        <f t="shared" si="4"/>
        <v>155.72379999999998</v>
      </c>
      <c r="H24" s="13">
        <f t="shared" si="4"/>
        <v>155.72379999999998</v>
      </c>
      <c r="I24" s="13">
        <f t="shared" si="4"/>
        <v>155.72379999999998</v>
      </c>
      <c r="J24" s="13">
        <f t="shared" si="4"/>
        <v>155.72379999999998</v>
      </c>
      <c r="K24" s="13">
        <f t="shared" si="4"/>
        <v>155.72379999999998</v>
      </c>
      <c r="L24" s="13">
        <f t="shared" si="4"/>
        <v>155.72379999999998</v>
      </c>
      <c r="M24" s="13">
        <f t="shared" si="4"/>
        <v>155.72379999999998</v>
      </c>
      <c r="N24" s="13">
        <f t="shared" si="4"/>
        <v>155.72379999999998</v>
      </c>
      <c r="O24" s="4"/>
      <c r="P24" s="45">
        <f t="shared" si="2"/>
        <v>1868.6855999999998</v>
      </c>
    </row>
    <row r="25" spans="2:18" ht="15" customHeight="1" x14ac:dyDescent="0.35">
      <c r="B25" s="66" t="s">
        <v>36</v>
      </c>
      <c r="C25" s="13">
        <f t="shared" ref="C25:N25" si="5">C23*0.02</f>
        <v>28.993524000000004</v>
      </c>
      <c r="D25" s="13">
        <f t="shared" si="5"/>
        <v>28.993524000000004</v>
      </c>
      <c r="E25" s="13">
        <f t="shared" si="5"/>
        <v>28.993524000000004</v>
      </c>
      <c r="F25" s="13">
        <f t="shared" si="5"/>
        <v>28.993524000000004</v>
      </c>
      <c r="G25" s="13">
        <f t="shared" si="5"/>
        <v>28.993524000000004</v>
      </c>
      <c r="H25" s="13">
        <f t="shared" si="5"/>
        <v>28.993524000000004</v>
      </c>
      <c r="I25" s="13">
        <f t="shared" si="5"/>
        <v>28.993524000000004</v>
      </c>
      <c r="J25" s="13">
        <f t="shared" si="5"/>
        <v>28.993524000000004</v>
      </c>
      <c r="K25" s="13">
        <f t="shared" si="5"/>
        <v>28.993524000000004</v>
      </c>
      <c r="L25" s="13">
        <f t="shared" si="5"/>
        <v>28.993524000000004</v>
      </c>
      <c r="M25" s="13">
        <f t="shared" si="5"/>
        <v>28.993524000000004</v>
      </c>
      <c r="N25" s="13">
        <f t="shared" si="5"/>
        <v>28.993524000000004</v>
      </c>
      <c r="O25" s="4"/>
      <c r="P25" s="45">
        <f t="shared" si="2"/>
        <v>347.92228799999998</v>
      </c>
    </row>
    <row r="26" spans="2:18" ht="15" customHeight="1" x14ac:dyDescent="0.35">
      <c r="B26" s="10" t="s">
        <v>9</v>
      </c>
      <c r="C26" s="11">
        <f>1680.4+3496.96</f>
        <v>5177.3600000000006</v>
      </c>
      <c r="D26" s="11">
        <f>1680.4+3496.96</f>
        <v>5177.3600000000006</v>
      </c>
      <c r="E26" s="11">
        <f>1680.4+3496.96</f>
        <v>5177.3600000000006</v>
      </c>
      <c r="F26" s="11">
        <f>1680.4+3496.96</f>
        <v>5177.3600000000006</v>
      </c>
      <c r="G26" s="11">
        <f>1680.4+3533.08</f>
        <v>5213.4799999999996</v>
      </c>
      <c r="H26" s="11">
        <f>1680.4+3533.08</f>
        <v>5213.4799999999996</v>
      </c>
      <c r="I26" s="11">
        <f t="shared" ref="I26:N26" si="6">1680.4+3537.1</f>
        <v>5217.5</v>
      </c>
      <c r="J26" s="11">
        <f t="shared" si="6"/>
        <v>5217.5</v>
      </c>
      <c r="K26" s="11">
        <f t="shared" si="6"/>
        <v>5217.5</v>
      </c>
      <c r="L26" s="11">
        <f t="shared" si="6"/>
        <v>5217.5</v>
      </c>
      <c r="M26" s="11">
        <f t="shared" si="6"/>
        <v>5217.5</v>
      </c>
      <c r="N26" s="11">
        <f t="shared" si="6"/>
        <v>5217.5</v>
      </c>
      <c r="O26" s="4"/>
      <c r="P26" s="45">
        <f t="shared" si="2"/>
        <v>62441.4</v>
      </c>
    </row>
    <row r="27" spans="2:18" ht="15" customHeight="1" x14ac:dyDescent="0.35">
      <c r="B27" s="8" t="s">
        <v>3</v>
      </c>
      <c r="C27" s="9">
        <f t="shared" ref="C27:N27" si="7">SUM(C22:C26)</f>
        <v>13244.753524</v>
      </c>
      <c r="D27" s="9">
        <f t="shared" si="7"/>
        <v>13244.753524</v>
      </c>
      <c r="E27" s="9">
        <f t="shared" si="7"/>
        <v>13244.753524</v>
      </c>
      <c r="F27" s="9">
        <f t="shared" si="7"/>
        <v>13244.753524</v>
      </c>
      <c r="G27" s="9">
        <f t="shared" si="7"/>
        <v>13280.873523999999</v>
      </c>
      <c r="H27" s="9">
        <f t="shared" si="7"/>
        <v>13280.873523999999</v>
      </c>
      <c r="I27" s="9">
        <f t="shared" si="7"/>
        <v>13284.893523999999</v>
      </c>
      <c r="J27" s="9">
        <f t="shared" si="7"/>
        <v>13284.893523999999</v>
      </c>
      <c r="K27" s="9">
        <f t="shared" si="7"/>
        <v>13284.893523999999</v>
      </c>
      <c r="L27" s="9">
        <f t="shared" si="7"/>
        <v>13284.893523999999</v>
      </c>
      <c r="M27" s="9">
        <f t="shared" si="7"/>
        <v>13284.893523999999</v>
      </c>
      <c r="N27" s="9">
        <f t="shared" si="7"/>
        <v>13284.893523999999</v>
      </c>
      <c r="O27" s="4"/>
      <c r="P27" s="49">
        <f t="shared" si="2"/>
        <v>159250.12228800001</v>
      </c>
    </row>
    <row r="28" spans="2:18" ht="15" customHeight="1" x14ac:dyDescent="0.3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5">
      <c r="B29" s="40" t="s">
        <v>28</v>
      </c>
      <c r="C29" s="41">
        <f t="shared" ref="C29:N29" si="8">+C19-C27</f>
        <v>1298.0464760000013</v>
      </c>
      <c r="D29" s="41">
        <f t="shared" si="8"/>
        <v>635.64647600000171</v>
      </c>
      <c r="E29" s="41">
        <f t="shared" si="8"/>
        <v>-26.753523999999743</v>
      </c>
      <c r="F29" s="41">
        <f t="shared" si="8"/>
        <v>635.64647600000171</v>
      </c>
      <c r="G29" s="41">
        <f t="shared" si="8"/>
        <v>-2050.0735239999976</v>
      </c>
      <c r="H29" s="41">
        <f t="shared" si="8"/>
        <v>-62.873523999998724</v>
      </c>
      <c r="I29" s="41">
        <f t="shared" si="8"/>
        <v>1920.3064760000016</v>
      </c>
      <c r="J29" s="41">
        <f t="shared" si="8"/>
        <v>-5366.093523999999</v>
      </c>
      <c r="K29" s="41">
        <f t="shared" si="8"/>
        <v>595.50647600000229</v>
      </c>
      <c r="L29" s="41">
        <f t="shared" si="8"/>
        <v>1920.3064760000016</v>
      </c>
      <c r="M29" s="41">
        <f t="shared" si="8"/>
        <v>-729.2935239999988</v>
      </c>
      <c r="N29" s="41">
        <f t="shared" si="8"/>
        <v>-3378.8935239999992</v>
      </c>
      <c r="O29" s="4"/>
      <c r="P29" s="51">
        <f>SUM(C29:N29)</f>
        <v>-4608.5222879999828</v>
      </c>
    </row>
    <row r="30" spans="2:18" ht="15" customHeigh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opLeftCell="A8" workbookViewId="0">
      <selection activeCell="G25" sqref="G25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5">
      <c r="B1" s="82" t="s">
        <v>10</v>
      </c>
      <c r="P1" s="54"/>
    </row>
    <row r="2" spans="2:16" x14ac:dyDescent="0.3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5" customHeight="1" x14ac:dyDescent="0.3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5" customHeight="1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5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/>
      <c r="H6" s="11"/>
      <c r="I6" s="11"/>
      <c r="J6" s="11"/>
      <c r="K6" s="11"/>
      <c r="L6" s="11"/>
      <c r="M6" s="11"/>
      <c r="N6" s="71"/>
      <c r="O6" s="53"/>
      <c r="P6" s="79">
        <f>SUM(C6:N6)</f>
        <v>80</v>
      </c>
    </row>
    <row r="7" spans="2:16" ht="15" customHeight="1" x14ac:dyDescent="0.35">
      <c r="B7" s="10" t="s">
        <v>31</v>
      </c>
      <c r="C7" s="11">
        <v>20</v>
      </c>
      <c r="D7" s="11">
        <v>20</v>
      </c>
      <c r="E7" s="11">
        <v>21</v>
      </c>
      <c r="F7" s="11">
        <v>20</v>
      </c>
      <c r="G7" s="11"/>
      <c r="H7" s="11"/>
      <c r="I7" s="11"/>
      <c r="J7" s="11"/>
      <c r="K7" s="11"/>
      <c r="L7" s="11"/>
      <c r="M7" s="11"/>
      <c r="N7" s="11"/>
      <c r="O7" s="53"/>
      <c r="P7" s="79">
        <f>SUM(C7:N7)</f>
        <v>81</v>
      </c>
    </row>
    <row r="8" spans="2:16" ht="15" customHeight="1" x14ac:dyDescent="0.35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1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79">
        <f>SUM(C8:N8)</f>
        <v>1</v>
      </c>
    </row>
    <row r="9" spans="2:16" ht="15" customHeight="1" x14ac:dyDescent="0.3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5">
      <c r="B11" s="16" t="s">
        <v>23</v>
      </c>
      <c r="C11" s="60">
        <v>20</v>
      </c>
      <c r="D11" s="60">
        <v>20</v>
      </c>
      <c r="E11" s="60">
        <v>21</v>
      </c>
      <c r="F11" s="60">
        <v>20</v>
      </c>
      <c r="G11" s="60"/>
      <c r="H11" s="60"/>
      <c r="I11" s="60"/>
      <c r="J11" s="60"/>
      <c r="K11" s="60"/>
      <c r="L11" s="60"/>
      <c r="M11" s="60"/>
      <c r="N11" s="60"/>
      <c r="P11" s="79">
        <f>SUM(C11:N11)</f>
        <v>81</v>
      </c>
    </row>
    <row r="12" spans="2:16" ht="15" customHeight="1" x14ac:dyDescent="0.35">
      <c r="B12" s="10" t="s">
        <v>25</v>
      </c>
      <c r="C12" s="61">
        <v>2</v>
      </c>
      <c r="D12" s="61"/>
      <c r="E12" s="61"/>
      <c r="F12" s="61">
        <v>1</v>
      </c>
      <c r="G12" s="61"/>
      <c r="H12" s="61"/>
      <c r="I12" s="61"/>
      <c r="J12" s="61"/>
      <c r="K12" s="61"/>
      <c r="L12" s="61"/>
      <c r="M12" s="61"/>
      <c r="N12" s="61"/>
      <c r="P12" s="79">
        <f>SUM(C12:N12)</f>
        <v>3</v>
      </c>
    </row>
    <row r="13" spans="2:16" ht="15" customHeight="1" x14ac:dyDescent="0.3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5">
      <c r="B17" s="10" t="s">
        <v>6</v>
      </c>
      <c r="C17" s="14">
        <f>C11*Params!$C$5*(1-Params!$C$3)-Params!$C$4</f>
        <v>13218</v>
      </c>
      <c r="D17" s="14">
        <f>D11*Params!$C$5*(1-Params!$C$3)-Params!$C$4</f>
        <v>13218</v>
      </c>
      <c r="E17" s="14">
        <f>E11*Params!$C$5*(1-Params!$C$3)-Params!$C$4</f>
        <v>13880.400000000001</v>
      </c>
      <c r="F17" s="14">
        <f>F11*Params!$C$5*(1-Params!$C$3)-Params!$C$4</f>
        <v>13218</v>
      </c>
      <c r="G17" s="14"/>
      <c r="H17" s="14"/>
      <c r="I17" s="14"/>
      <c r="J17" s="14"/>
      <c r="K17" s="14"/>
      <c r="L17" s="14"/>
      <c r="M17" s="14"/>
      <c r="N17" s="14"/>
      <c r="O17" s="4"/>
      <c r="P17" s="45">
        <f>SUM(C17:N17)</f>
        <v>53534.400000000001</v>
      </c>
    </row>
    <row r="18" spans="2:18" ht="15" customHeight="1" x14ac:dyDescent="0.3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5">
      <c r="B19" s="2" t="s">
        <v>2</v>
      </c>
      <c r="C19" s="37">
        <f t="shared" ref="C19:N19" si="1">SUM(C17:C18)</f>
        <v>13218</v>
      </c>
      <c r="D19" s="37">
        <f t="shared" si="1"/>
        <v>13218</v>
      </c>
      <c r="E19" s="37">
        <f t="shared" si="1"/>
        <v>13880.400000000001</v>
      </c>
      <c r="F19" s="37">
        <f t="shared" si="1"/>
        <v>13218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5"/>
      <c r="P19" s="46">
        <f>SUM(C19:N19)</f>
        <v>53534.400000000001</v>
      </c>
    </row>
    <row r="20" spans="2:18" ht="15" customHeight="1" x14ac:dyDescent="0.3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5">
      <c r="B22" s="10" t="s">
        <v>8</v>
      </c>
      <c r="C22" s="11">
        <v>6433.3</v>
      </c>
      <c r="D22" s="11">
        <v>6433.3</v>
      </c>
      <c r="E22" s="11">
        <v>6433.3</v>
      </c>
      <c r="F22" s="11">
        <v>6433.3</v>
      </c>
      <c r="G22" s="11"/>
      <c r="H22" s="11"/>
      <c r="I22" s="11"/>
      <c r="J22" s="11"/>
      <c r="K22" s="11"/>
      <c r="L22" s="11"/>
      <c r="M22" s="11"/>
      <c r="N22" s="11"/>
      <c r="O22" s="4"/>
      <c r="P22" s="45">
        <f t="shared" ref="P22:P27" si="2">SUM(C22:N22)</f>
        <v>25733.200000000001</v>
      </c>
    </row>
    <row r="23" spans="2:18" s="76" customFormat="1" x14ac:dyDescent="0.35">
      <c r="B23" s="73" t="s">
        <v>41</v>
      </c>
      <c r="C23" s="77">
        <f>(8031/5)*(1-9.7%)</f>
        <v>1450.3986</v>
      </c>
      <c r="D23" s="77">
        <f>(8031/5)*(1-9.7%)</f>
        <v>1450.3986</v>
      </c>
      <c r="E23" s="77">
        <f>(8031/5)*(1-9.7%)</f>
        <v>1450.3986</v>
      </c>
      <c r="F23" s="77">
        <f>(8031/5)*(1-9.7%)</f>
        <v>1450.3986</v>
      </c>
      <c r="G23" s="77"/>
      <c r="H23" s="77"/>
      <c r="I23" s="77"/>
      <c r="J23" s="77"/>
      <c r="K23" s="77"/>
      <c r="L23" s="77"/>
      <c r="M23" s="77"/>
      <c r="N23" s="77"/>
      <c r="O23" s="74"/>
      <c r="P23" s="75">
        <f t="shared" si="2"/>
        <v>5801.5944</v>
      </c>
    </row>
    <row r="24" spans="2:18" x14ac:dyDescent="0.35">
      <c r="B24" s="12" t="s">
        <v>42</v>
      </c>
      <c r="C24" s="13">
        <f>(8031/5)*9.7%</f>
        <v>155.80139999999997</v>
      </c>
      <c r="D24" s="13">
        <f>(8031/5)*9.7%</f>
        <v>155.80139999999997</v>
      </c>
      <c r="E24" s="13">
        <f>(8031/5)*9.7%</f>
        <v>155.80139999999997</v>
      </c>
      <c r="F24" s="13">
        <f>(8031/5)*9.7%</f>
        <v>155.80139999999997</v>
      </c>
      <c r="G24" s="13"/>
      <c r="H24" s="13"/>
      <c r="I24" s="13"/>
      <c r="J24" s="13"/>
      <c r="K24" s="13"/>
      <c r="L24" s="13"/>
      <c r="M24" s="13"/>
      <c r="N24" s="13"/>
      <c r="O24" s="4"/>
      <c r="P24" s="45">
        <f t="shared" si="2"/>
        <v>623.20559999999989</v>
      </c>
    </row>
    <row r="25" spans="2:18" ht="15" customHeight="1" x14ac:dyDescent="0.35">
      <c r="B25" s="66" t="s">
        <v>36</v>
      </c>
      <c r="C25" s="13">
        <f>C23*0.02</f>
        <v>29.007971999999999</v>
      </c>
      <c r="D25" s="13">
        <f>D23*0.02</f>
        <v>29.007971999999999</v>
      </c>
      <c r="E25" s="13">
        <f>E23*0.02</f>
        <v>29.007971999999999</v>
      </c>
      <c r="F25" s="13">
        <f>F23*0.02</f>
        <v>29.007971999999999</v>
      </c>
      <c r="G25" s="13"/>
      <c r="H25" s="13"/>
      <c r="I25" s="13"/>
      <c r="J25" s="13"/>
      <c r="K25" s="13"/>
      <c r="L25" s="13"/>
      <c r="M25" s="13"/>
      <c r="N25" s="13"/>
      <c r="O25" s="4"/>
      <c r="P25" s="45">
        <f t="shared" si="2"/>
        <v>116.031888</v>
      </c>
    </row>
    <row r="26" spans="2:18" ht="15" customHeight="1" x14ac:dyDescent="0.35">
      <c r="B26" s="10" t="s">
        <v>9</v>
      </c>
      <c r="C26" s="11">
        <f>1686.5+3543.63</f>
        <v>5230.13</v>
      </c>
      <c r="D26" s="11">
        <f>1686.5+3543.63</f>
        <v>5230.13</v>
      </c>
      <c r="E26" s="11">
        <f>1686.5+3543.63</f>
        <v>5230.13</v>
      </c>
      <c r="F26" s="11">
        <f>1686.5+3543.63</f>
        <v>5230.13</v>
      </c>
      <c r="G26" s="11"/>
      <c r="H26" s="11"/>
      <c r="I26" s="11"/>
      <c r="J26" s="11"/>
      <c r="K26" s="11"/>
      <c r="L26" s="11"/>
      <c r="M26" s="11"/>
      <c r="N26" s="11"/>
      <c r="O26" s="4"/>
      <c r="P26" s="45">
        <f t="shared" si="2"/>
        <v>20920.52</v>
      </c>
    </row>
    <row r="27" spans="2:18" ht="15" customHeight="1" x14ac:dyDescent="0.35">
      <c r="B27" s="8" t="s">
        <v>3</v>
      </c>
      <c r="C27" s="9">
        <f t="shared" ref="C27:N27" si="3">SUM(C22:C26)</f>
        <v>13298.637972</v>
      </c>
      <c r="D27" s="9">
        <f t="shared" si="3"/>
        <v>13298.637972</v>
      </c>
      <c r="E27" s="9">
        <f t="shared" si="3"/>
        <v>13298.637972</v>
      </c>
      <c r="F27" s="9">
        <f t="shared" si="3"/>
        <v>13298.637972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9">
        <f t="shared" si="2"/>
        <v>53194.551888000002</v>
      </c>
    </row>
    <row r="28" spans="2:18" ht="15" customHeight="1" x14ac:dyDescent="0.3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5">
      <c r="B29" s="40" t="s">
        <v>28</v>
      </c>
      <c r="C29" s="41">
        <f t="shared" ref="C29:N29" si="4">+C19-C27</f>
        <v>-80.637972000000445</v>
      </c>
      <c r="D29" s="41">
        <f t="shared" si="4"/>
        <v>-80.637972000000445</v>
      </c>
      <c r="E29" s="41">
        <f t="shared" si="4"/>
        <v>581.76202800000101</v>
      </c>
      <c r="F29" s="41">
        <f t="shared" si="4"/>
        <v>-80.637972000000445</v>
      </c>
      <c r="G29" s="41">
        <f t="shared" si="4"/>
        <v>0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"/>
      <c r="P29" s="51">
        <f>SUM(C29:N29)</f>
        <v>339.84811199999967</v>
      </c>
    </row>
    <row r="30" spans="2:18" ht="15" customHeigh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1" max="1" width="4" customWidth="1"/>
    <col min="2" max="2" width="34.36328125" customWidth="1"/>
    <col min="3" max="3" width="27.81640625" customWidth="1"/>
  </cols>
  <sheetData>
    <row r="2" spans="2:3" ht="27" customHeight="1" x14ac:dyDescent="0.35">
      <c r="B2" s="84" t="s">
        <v>35</v>
      </c>
      <c r="C2" s="85"/>
    </row>
    <row r="3" spans="2:3" ht="27" customHeight="1" x14ac:dyDescent="0.35">
      <c r="B3" s="38" t="s">
        <v>33</v>
      </c>
      <c r="C3" s="39">
        <v>0.08</v>
      </c>
    </row>
    <row r="4" spans="2:3" ht="27" customHeight="1" x14ac:dyDescent="0.35">
      <c r="B4" s="38" t="s">
        <v>34</v>
      </c>
      <c r="C4" s="38">
        <v>30</v>
      </c>
    </row>
    <row r="5" spans="2:3" ht="21" customHeight="1" x14ac:dyDescent="0.35">
      <c r="B5" s="38" t="s">
        <v>44</v>
      </c>
      <c r="C5" s="38">
        <v>720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2" customWidth="1"/>
  </cols>
  <sheetData>
    <row r="2" spans="2:3" ht="22" customHeight="1" x14ac:dyDescent="0.35">
      <c r="B2" s="86" t="s">
        <v>37</v>
      </c>
      <c r="C2" s="87"/>
    </row>
    <row r="3" spans="2:3" ht="22" customHeight="1" x14ac:dyDescent="0.35">
      <c r="B3" s="68" t="s">
        <v>38</v>
      </c>
      <c r="C3" s="70">
        <f>'2023'!P30+'2024'!P29+'2025'!P29</f>
        <v>191.4071353200261</v>
      </c>
    </row>
    <row r="4" spans="2:3" ht="22" customHeight="1" x14ac:dyDescent="0.35">
      <c r="B4" s="69" t="s">
        <v>43</v>
      </c>
      <c r="C4" s="70">
        <f>'2023'!P12+'2024'!P12+'2025'!P12</f>
        <v>22</v>
      </c>
    </row>
    <row r="5" spans="2:3" x14ac:dyDescent="0.35">
      <c r="B5" t="s">
        <v>47</v>
      </c>
      <c r="C5">
        <f>(4*2.08)+(16*1)-C4</f>
        <v>2.3200000000000003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2025-05-06T00:11:25Z</dcterms:modified>
</cp:coreProperties>
</file>