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4\Normal\"/>
    </mc:Choice>
  </mc:AlternateContent>
  <bookViews>
    <workbookView xWindow="0" yWindow="0" windowWidth="22520" windowHeight="5670" activeTab="3"/>
  </bookViews>
  <sheets>
    <sheet name="2022" sheetId="14" r:id="rId1"/>
    <sheet name="2023" sheetId="15" r:id="rId2"/>
    <sheet name="2024" sheetId="16" r:id="rId3"/>
    <sheet name="2025" sheetId="17" r:id="rId4"/>
    <sheet name="Params" sheetId="10" r:id="rId5"/>
    <sheet name="Synthése" sheetId="13" r:id="rId6"/>
  </sheets>
  <definedNames>
    <definedName name="AOUT" localSheetId="0">'2022'!$J$3</definedName>
    <definedName name="AOUT" localSheetId="1">'2023'!$J$3</definedName>
    <definedName name="AOUT" localSheetId="2">'2024'!$J$3</definedName>
    <definedName name="AOUT" localSheetId="3">'2025'!$J$3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 localSheetId="3">'2025'!#REF!</definedName>
    <definedName name="AVANCE_SUR_SALAIRE">#REF!</definedName>
    <definedName name="AVRIL" localSheetId="0">'2022'!$F$3</definedName>
    <definedName name="AVRIL" localSheetId="1">'2023'!$F$3</definedName>
    <definedName name="AVRIL" localSheetId="2">'2024'!$F$3</definedName>
    <definedName name="AVRIL" localSheetId="3">'2025'!$F$3</definedName>
    <definedName name="AVRIL">#REF!</definedName>
    <definedName name="CRA" localSheetId="0">'2022'!$B$10</definedName>
    <definedName name="CRA" localSheetId="1">'2023'!$B$10</definedName>
    <definedName name="CRA" localSheetId="2">'2024'!$B$10</definedName>
    <definedName name="CRA" localSheetId="3">'2025'!$B$10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 localSheetId="3">'2025'!$B$14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 localSheetId="3">'2025'!$B$12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 localSheetId="3">'2025'!$B$11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 localSheetId="3">'2025'!$B$13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 localSheetId="3">'2025'!$N$3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 localSheetId="3">'2025'!$B$16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 localSheetId="3">'2025'!$B$18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 localSheetId="3">'2025'!$B$17</definedName>
    <definedName name="ENTREES_FACTURE">#REF!</definedName>
    <definedName name="FEVRIER" localSheetId="0">'2022'!$D$3</definedName>
    <definedName name="FEVRIER" localSheetId="1">'2023'!$D$3</definedName>
    <definedName name="FEVRIER" localSheetId="2">'2024'!$D$3</definedName>
    <definedName name="FEVRIER" localSheetId="3">'2025'!$D$3</definedName>
    <definedName name="FEVRIER">#REF!</definedName>
    <definedName name="FRAIS_KM" localSheetId="3">'2025'!#REF!</definedName>
    <definedName name="FRAIS_KM">'2024'!$B$31</definedName>
    <definedName name="JANVIER" localSheetId="0">'2022'!$C$3</definedName>
    <definedName name="JANVIER" localSheetId="1">'2023'!$C$3</definedName>
    <definedName name="JANVIER" localSheetId="2">'2024'!$C$3</definedName>
    <definedName name="JANVIER" localSheetId="3">'2025'!$C$3</definedName>
    <definedName name="JANVIER">#REF!</definedName>
    <definedName name="JUILLET" localSheetId="0">'2022'!$I$3</definedName>
    <definedName name="JUILLET" localSheetId="1">'2023'!$I$3</definedName>
    <definedName name="JUILLET" localSheetId="2">'2024'!$I$3</definedName>
    <definedName name="JUILLET" localSheetId="3">'2025'!$I$3</definedName>
    <definedName name="JUILLET">#REF!</definedName>
    <definedName name="JUIN" localSheetId="0">'2022'!$H$3</definedName>
    <definedName name="JUIN" localSheetId="1">'2023'!$H$3</definedName>
    <definedName name="JUIN" localSheetId="2">'2024'!$H$3</definedName>
    <definedName name="JUIN" localSheetId="3">'2025'!$H$3</definedName>
    <definedName name="JUIN">#REF!</definedName>
    <definedName name="MAI" localSheetId="0">'2022'!$G$3</definedName>
    <definedName name="MAI" localSheetId="1">'2023'!$G$3</definedName>
    <definedName name="MAI" localSheetId="2">'2024'!$G$3</definedName>
    <definedName name="MAI" localSheetId="3">'2025'!$G$3</definedName>
    <definedName name="MAI">#REF!</definedName>
    <definedName name="MARS" localSheetId="0">'2022'!$E$3</definedName>
    <definedName name="MARS" localSheetId="1">'2023'!$E$3</definedName>
    <definedName name="MARS" localSheetId="2">'2024'!$E$3</definedName>
    <definedName name="MARS" localSheetId="3">'2025'!$E$3</definedName>
    <definedName name="MARS">#REF!</definedName>
    <definedName name="MOIS" localSheetId="0">'2022'!$B$3</definedName>
    <definedName name="MOIS" localSheetId="1">'2023'!$B$3</definedName>
    <definedName name="MOIS" localSheetId="2">'2024'!$B$3</definedName>
    <definedName name="MOIS" localSheetId="3">'2025'!$B$3</definedName>
    <definedName name="MOIS">#REF!</definedName>
    <definedName name="NOMBRE_KM" localSheetId="3">'2025'!#REF!</definedName>
    <definedName name="NOMBRE_KM">'2024'!$B$30</definedName>
    <definedName name="NOVEMBRE" localSheetId="0">'2022'!$M$3</definedName>
    <definedName name="NOVEMBRE" localSheetId="1">'2023'!$M$3</definedName>
    <definedName name="NOVEMBRE" localSheetId="2">'2024'!$M$3</definedName>
    <definedName name="NOVEMBRE" localSheetId="3">'2025'!$M$3</definedName>
    <definedName name="NOVEMBRE">#REF!</definedName>
    <definedName name="OCTOBRE" localSheetId="0">'2022'!$L$3</definedName>
    <definedName name="OCTOBRE" localSheetId="1">'2023'!$L$3</definedName>
    <definedName name="OCTOBRE" localSheetId="2">'2024'!$L$3</definedName>
    <definedName name="OCTOBRE" localSheetId="3">'2025'!$L$3</definedName>
    <definedName name="OCTOBRE">#REF!</definedName>
    <definedName name="REPAS" localSheetId="0">'2022'!$B$5</definedName>
    <definedName name="REPAS" localSheetId="1">'2023'!$B$5</definedName>
    <definedName name="REPAS" localSheetId="2">'2024'!$B$5</definedName>
    <definedName name="REPAS" localSheetId="3">'2025'!$B$5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 localSheetId="3">'2025'!$B$7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 localSheetId="3">'2025'!$B$6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 localSheetId="3">'2025'!$B$8</definedName>
    <definedName name="REPAS_SOLDE">#REF!</definedName>
    <definedName name="SEPTEMBRE" localSheetId="0">'2022'!$K$3</definedName>
    <definedName name="SEPTEMBRE" localSheetId="1">'2023'!$K$3</definedName>
    <definedName name="SEPTEMBRE" localSheetId="2">'2024'!$K$3</definedName>
    <definedName name="SEPTEMBRE" localSheetId="3">'2025'!$K$3</definedName>
    <definedName name="SEPTEMBRE">#REF!</definedName>
    <definedName name="SOLDE" localSheetId="0">'2022'!$B$26</definedName>
    <definedName name="SOLDE" localSheetId="1">'2023'!$B$27</definedName>
    <definedName name="SOLDE" localSheetId="2">'2024'!$B$28</definedName>
    <definedName name="SOLDE" localSheetId="3">'2025'!$B$27</definedName>
    <definedName name="SORTIES" localSheetId="0">'2022'!$B$21</definedName>
    <definedName name="SORTIES" localSheetId="1">'2023'!$B$21</definedName>
    <definedName name="SORTIES" localSheetId="2">'2024'!$B$21</definedName>
    <definedName name="SORTIES" localSheetId="3">'2025'!$B$21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 localSheetId="3">'2025'!#REF!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 localSheetId="2">'2024'!$B$23</definedName>
    <definedName name="SORTIES_CHARGES_SOCIALES_PATRONALES" localSheetId="3">'2025'!$B$23</definedName>
    <definedName name="SORTIES_CHARGES_SOCIALES_PATRONALES">#REF!</definedName>
    <definedName name="SORTIES_FRAIS_KM" localSheetId="3">'2025'!#REF!</definedName>
    <definedName name="SORTIES_FRAIS_KM">'2024'!$B$24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 localSheetId="3">'2025'!#REF!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 localSheetId="3">'2025'!#REF!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 localSheetId="2">'2024'!$B$22</definedName>
    <definedName name="SORTIES_SALAIRE_NET" localSheetId="3">'2025'!$B$22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 localSheetId="3">'2025'!$P$3</definedName>
    <definedName name="TOTAL">#REF!</definedName>
    <definedName name="TOTAL_ENTREES" localSheetId="0">'2022'!$B$19</definedName>
    <definedName name="TOTAL_ENTREES" localSheetId="1">'2023'!$B$19</definedName>
    <definedName name="TOTAL_ENTREES" localSheetId="2">'2024'!$B$19</definedName>
    <definedName name="TOTAL_ENTREES" localSheetId="3">'2025'!$B$19</definedName>
    <definedName name="TOTAL_ENTREES">#REF!</definedName>
    <definedName name="TOTAL_SORTIES" localSheetId="0">'2022'!$B$24</definedName>
    <definedName name="TOTAL_SORTIES" localSheetId="1">'2023'!$B$25</definedName>
    <definedName name="TOTAL_SORTIES" localSheetId="2">'2024'!$B$26</definedName>
    <definedName name="TOTAL_SORTIES" localSheetId="3">'2025'!$B$25</definedName>
    <definedName name="TOTAL_SORTIES">#REF!</definedName>
  </definedNames>
  <calcPr calcId="162913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F23" i="17"/>
  <c r="F17" i="17"/>
  <c r="J27" i="17" l="1"/>
  <c r="N25" i="17"/>
  <c r="M25" i="17"/>
  <c r="L25" i="17"/>
  <c r="K25" i="17"/>
  <c r="J25" i="17"/>
  <c r="I25" i="17"/>
  <c r="H25" i="17"/>
  <c r="G25" i="17"/>
  <c r="F25" i="17"/>
  <c r="E25" i="17"/>
  <c r="D25" i="17"/>
  <c r="P24" i="17"/>
  <c r="E23" i="17"/>
  <c r="D23" i="17"/>
  <c r="C23" i="17"/>
  <c r="C25" i="17" s="1"/>
  <c r="P22" i="17"/>
  <c r="N19" i="17"/>
  <c r="N27" i="17" s="1"/>
  <c r="M19" i="17"/>
  <c r="M27" i="17" s="1"/>
  <c r="L19" i="17"/>
  <c r="L27" i="17" s="1"/>
  <c r="K19" i="17"/>
  <c r="K27" i="17" s="1"/>
  <c r="J19" i="17"/>
  <c r="I19" i="17"/>
  <c r="I27" i="17" s="1"/>
  <c r="H19" i="17"/>
  <c r="H27" i="17" s="1"/>
  <c r="G19" i="17"/>
  <c r="G27" i="17" s="1"/>
  <c r="F19" i="17"/>
  <c r="F27" i="17" s="1"/>
  <c r="C19" i="17"/>
  <c r="P18" i="17"/>
  <c r="E17" i="17"/>
  <c r="E19" i="17" s="1"/>
  <c r="E27" i="17" s="1"/>
  <c r="D17" i="17"/>
  <c r="D19" i="17" s="1"/>
  <c r="C17" i="17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P8" i="17" s="1"/>
  <c r="D8" i="17"/>
  <c r="C8" i="17"/>
  <c r="P7" i="17"/>
  <c r="P6" i="17"/>
  <c r="P31" i="16"/>
  <c r="P30" i="16"/>
  <c r="N26" i="16"/>
  <c r="M26" i="16"/>
  <c r="L26" i="16"/>
  <c r="K26" i="16"/>
  <c r="H26" i="16"/>
  <c r="G26" i="16"/>
  <c r="F26" i="16"/>
  <c r="E26" i="16"/>
  <c r="D26" i="16"/>
  <c r="C26" i="16"/>
  <c r="P25" i="16"/>
  <c r="P24" i="16"/>
  <c r="N23" i="16"/>
  <c r="M23" i="16"/>
  <c r="L23" i="16"/>
  <c r="K23" i="16"/>
  <c r="J23" i="16"/>
  <c r="J26" i="16" s="1"/>
  <c r="I23" i="16"/>
  <c r="I26" i="16" s="1"/>
  <c r="H23" i="16"/>
  <c r="G23" i="16"/>
  <c r="F23" i="16"/>
  <c r="E23" i="16"/>
  <c r="D23" i="16"/>
  <c r="C23" i="16"/>
  <c r="P23" i="16" s="1"/>
  <c r="P22" i="16"/>
  <c r="L19" i="16"/>
  <c r="L28" i="16" s="1"/>
  <c r="K19" i="16"/>
  <c r="K28" i="16" s="1"/>
  <c r="J19" i="16"/>
  <c r="J28" i="16" s="1"/>
  <c r="I19" i="16"/>
  <c r="I28" i="16" s="1"/>
  <c r="H19" i="16"/>
  <c r="H28" i="16" s="1"/>
  <c r="D19" i="16"/>
  <c r="D28" i="16" s="1"/>
  <c r="C19" i="16"/>
  <c r="P18" i="16"/>
  <c r="N17" i="16"/>
  <c r="N19" i="16" s="1"/>
  <c r="N28" i="16" s="1"/>
  <c r="M17" i="16"/>
  <c r="M19" i="16" s="1"/>
  <c r="M28" i="16" s="1"/>
  <c r="L17" i="16"/>
  <c r="K17" i="16"/>
  <c r="J17" i="16"/>
  <c r="I17" i="16"/>
  <c r="H17" i="16"/>
  <c r="G17" i="16"/>
  <c r="G19" i="16" s="1"/>
  <c r="G28" i="16" s="1"/>
  <c r="F17" i="16"/>
  <c r="P17" i="16" s="1"/>
  <c r="E17" i="16"/>
  <c r="E19" i="16" s="1"/>
  <c r="E28" i="16" s="1"/>
  <c r="D17" i="16"/>
  <c r="C17" i="16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P8" i="16" s="1"/>
  <c r="F8" i="16"/>
  <c r="E8" i="16"/>
  <c r="D8" i="16"/>
  <c r="C8" i="16"/>
  <c r="P7" i="16"/>
  <c r="P6" i="16"/>
  <c r="N25" i="15"/>
  <c r="M25" i="15"/>
  <c r="L25" i="15"/>
  <c r="K25" i="15"/>
  <c r="G25" i="15"/>
  <c r="F25" i="15"/>
  <c r="E25" i="15"/>
  <c r="D25" i="15"/>
  <c r="C25" i="15"/>
  <c r="P24" i="15"/>
  <c r="N23" i="15"/>
  <c r="M23" i="15"/>
  <c r="L23" i="15"/>
  <c r="K23" i="15"/>
  <c r="J23" i="15"/>
  <c r="J25" i="15" s="1"/>
  <c r="I23" i="15"/>
  <c r="I25" i="15" s="1"/>
  <c r="H23" i="15"/>
  <c r="H25" i="15" s="1"/>
  <c r="G23" i="15"/>
  <c r="F23" i="15"/>
  <c r="E23" i="15"/>
  <c r="D23" i="15"/>
  <c r="C23" i="15"/>
  <c r="P23" i="15" s="1"/>
  <c r="P22" i="15"/>
  <c r="K19" i="15"/>
  <c r="K27" i="15" s="1"/>
  <c r="J19" i="15"/>
  <c r="J27" i="15" s="1"/>
  <c r="I19" i="15"/>
  <c r="H19" i="15"/>
  <c r="G19" i="15"/>
  <c r="G27" i="15" s="1"/>
  <c r="C19" i="15"/>
  <c r="C27" i="15" s="1"/>
  <c r="P18" i="15"/>
  <c r="N17" i="15"/>
  <c r="N19" i="15" s="1"/>
  <c r="N27" i="15" s="1"/>
  <c r="M17" i="15"/>
  <c r="M19" i="15" s="1"/>
  <c r="M27" i="15" s="1"/>
  <c r="L17" i="15"/>
  <c r="L19" i="15" s="1"/>
  <c r="L27" i="15" s="1"/>
  <c r="K17" i="15"/>
  <c r="J17" i="15"/>
  <c r="I17" i="15"/>
  <c r="H17" i="15"/>
  <c r="G17" i="15"/>
  <c r="F17" i="15"/>
  <c r="F19" i="15" s="1"/>
  <c r="F27" i="15" s="1"/>
  <c r="E17" i="15"/>
  <c r="E19" i="15" s="1"/>
  <c r="E27" i="15" s="1"/>
  <c r="D17" i="15"/>
  <c r="D19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P8" i="15" s="1"/>
  <c r="E8" i="15"/>
  <c r="D8" i="15"/>
  <c r="C8" i="15"/>
  <c r="P7" i="15"/>
  <c r="P6" i="15"/>
  <c r="N26" i="14"/>
  <c r="M26" i="14"/>
  <c r="I26" i="14"/>
  <c r="H26" i="14"/>
  <c r="G26" i="14"/>
  <c r="F26" i="14"/>
  <c r="E26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P24" i="14" s="1"/>
  <c r="P23" i="14"/>
  <c r="N23" i="14"/>
  <c r="P22" i="14"/>
  <c r="N19" i="14"/>
  <c r="M19" i="14"/>
  <c r="L19" i="14"/>
  <c r="L26" i="14" s="1"/>
  <c r="K19" i="14"/>
  <c r="K26" i="14" s="1"/>
  <c r="J19" i="14"/>
  <c r="J26" i="14" s="1"/>
  <c r="I19" i="14"/>
  <c r="H19" i="14"/>
  <c r="G19" i="14"/>
  <c r="F19" i="14"/>
  <c r="E19" i="14"/>
  <c r="D19" i="14"/>
  <c r="D26" i="14" s="1"/>
  <c r="C19" i="14"/>
  <c r="C26" i="14" s="1"/>
  <c r="P18" i="14"/>
  <c r="P17" i="14"/>
  <c r="N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P8" i="14" s="1"/>
  <c r="E8" i="14"/>
  <c r="D8" i="14"/>
  <c r="C8" i="14"/>
  <c r="P7" i="14"/>
  <c r="P6" i="14"/>
  <c r="P25" i="17" l="1"/>
  <c r="P26" i="14"/>
  <c r="P19" i="17"/>
  <c r="D27" i="17"/>
  <c r="D27" i="15"/>
  <c r="P27" i="15" s="1"/>
  <c r="P19" i="15"/>
  <c r="P25" i="15"/>
  <c r="H27" i="15"/>
  <c r="P26" i="16"/>
  <c r="I27" i="15"/>
  <c r="P19" i="16"/>
  <c r="C27" i="17"/>
  <c r="P27" i="17" s="1"/>
  <c r="P17" i="15"/>
  <c r="P17" i="17"/>
  <c r="P19" i="14"/>
  <c r="C28" i="16"/>
  <c r="P28" i="16" s="1"/>
  <c r="P23" i="17"/>
  <c r="F19" i="16"/>
  <c r="F28" i="16" s="1"/>
  <c r="C3" i="13" l="1"/>
</calcChain>
</file>

<file path=xl/sharedStrings.xml><?xml version="1.0" encoding="utf-8"?>
<sst xmlns="http://schemas.openxmlformats.org/spreadsheetml/2006/main" count="146" uniqueCount="45">
  <si>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</si>
  <si>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</si>
  <si>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</si>
  <si>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</si>
  <si>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</si>
  <si>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</si>
  <si>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</si>
  <si>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</si>
  <si>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</si>
  <si>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</si>
  <si>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</si>
  <si>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</si>
  <si>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</si>
  <si>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</si>
  <si>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</si>
  <si>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</si>
  <si>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</si>
  <si>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</si>
  <si>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</si>
  <si>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</si>
  <si>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</si>
  <si>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</si>
  <si>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</si>
  <si>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</si>
  <si>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</si>
  <si>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</si>
  <si>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</si>
  <si>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</si>
  <si>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</si>
  <si>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</si>
  <si>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</si>
  <si>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</si>
  <si>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</si>
  <si>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</si>
  <si>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</si>
  <si>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</si>
  <si>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</si>
  <si>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</si>
  <si>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</si>
  <si>
    <t>Achat HT</t>
  </si>
  <si>
    <t xml:space="preserve">Frais KM </t>
  </si>
  <si>
    <t>Nombre de km</t>
  </si>
  <si>
    <t xml:space="preserve">Frais km </t>
  </si>
  <si>
    <t>Achat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</si>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</sst>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0" fillId="11" borderId="1" xfId="0" applyFill="1" applyBorder="1" applyProtection="1">
      <protection locked="0"/>
    </xf>
    <xf numFmtId="4" fontId="4" fillId="11" borderId="1" xfId="0" applyNumberFormat="1" applyFont="1" applyFill="1" applyBorder="1"/>
    <xf numFmtId="4" fontId="1" fillId="11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G29" sqref="G29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5" t="s">
        <v>9</v>
      </c>
    </row>
    <row r="2" spans="2:16" x14ac:dyDescent="0.3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17</v>
      </c>
      <c r="O6" s="31"/>
      <c r="P6" s="52">
        <f>SUM(C6:N6)</f>
        <v>17</v>
      </c>
    </row>
    <row r="7" spans="2:16" x14ac:dyDescent="0.3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17</v>
      </c>
      <c r="O7" s="31"/>
      <c r="P7" s="52">
        <f>SUM(C7:N7)</f>
        <v>17</v>
      </c>
    </row>
    <row r="8" spans="2:16" x14ac:dyDescent="0.3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17</v>
      </c>
      <c r="P11" s="53">
        <f>SUM(C11:N11)</f>
        <v>17</v>
      </c>
    </row>
    <row r="12" spans="2:16" x14ac:dyDescent="0.3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8996.2000000000007</v>
      </c>
      <c r="O17" s="4"/>
      <c r="P17" s="37">
        <f>SUM(C17:N17)</f>
        <v>8996.2000000000007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8996.2000000000007</v>
      </c>
      <c r="O19" s="5"/>
      <c r="P19" s="38">
        <f>SUM(C19:O19)</f>
        <v>8996.2000000000007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5018.84</v>
      </c>
      <c r="O22" s="4"/>
      <c r="P22" s="39">
        <f>SUM(C22:N22)</f>
        <v>5018.84</v>
      </c>
    </row>
    <row r="23" spans="2:16" x14ac:dyDescent="0.3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978.04+1956.74</f>
        <v>2934.7799999999997</v>
      </c>
      <c r="O23" s="4"/>
      <c r="P23" s="39">
        <f>SUM(C23:N23)</f>
        <v>2934.7799999999997</v>
      </c>
    </row>
    <row r="24" spans="2:16" x14ac:dyDescent="0.3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7953.62</v>
      </c>
      <c r="O24" s="4"/>
      <c r="P24" s="41">
        <f>SUM(C24:N24)</f>
        <v>7953.62</v>
      </c>
    </row>
    <row r="25" spans="2:16" x14ac:dyDescent="0.3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1042.5800000000008</v>
      </c>
      <c r="P26" s="54">
        <f>SUM(C26:O26)</f>
        <v>1042.5800000000008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opLeftCell="A4" workbookViewId="0">
      <selection activeCell="E25" sqref="E25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5" t="s">
        <v>9</v>
      </c>
    </row>
    <row r="2" spans="2:16" x14ac:dyDescent="0.3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228</v>
      </c>
    </row>
    <row r="7" spans="2:16" x14ac:dyDescent="0.35">
      <c r="B7" s="8" t="s">
        <v>20</v>
      </c>
      <c r="C7" s="33">
        <v>22</v>
      </c>
      <c r="D7" s="33">
        <v>20</v>
      </c>
      <c r="E7" s="33">
        <v>16</v>
      </c>
      <c r="F7" s="33">
        <v>19</v>
      </c>
      <c r="G7" s="33">
        <v>14</v>
      </c>
      <c r="H7" s="33">
        <v>17</v>
      </c>
      <c r="I7" s="33">
        <v>15</v>
      </c>
      <c r="J7" s="33">
        <v>20</v>
      </c>
      <c r="K7" s="33">
        <v>21</v>
      </c>
      <c r="L7" s="33">
        <v>22</v>
      </c>
      <c r="M7" s="33">
        <v>21</v>
      </c>
      <c r="N7" s="33">
        <v>20</v>
      </c>
      <c r="O7" s="31"/>
      <c r="P7" s="52">
        <f>SUM(C7:N7)</f>
        <v>227</v>
      </c>
    </row>
    <row r="8" spans="2:16" x14ac:dyDescent="0.35">
      <c r="B8" s="16" t="s">
        <v>21</v>
      </c>
      <c r="C8" s="32">
        <f t="shared" ref="C8:N8" si="0">C7-C6</f>
        <v>3</v>
      </c>
      <c r="D8" s="32">
        <f t="shared" si="0"/>
        <v>1</v>
      </c>
      <c r="E8" s="32">
        <f t="shared" si="0"/>
        <v>-3</v>
      </c>
      <c r="F8" s="32">
        <f t="shared" si="0"/>
        <v>0</v>
      </c>
      <c r="G8" s="32">
        <f t="shared" si="0"/>
        <v>-5</v>
      </c>
      <c r="H8" s="32">
        <f t="shared" si="0"/>
        <v>-2</v>
      </c>
      <c r="I8" s="32">
        <f t="shared" si="0"/>
        <v>-4</v>
      </c>
      <c r="J8" s="32">
        <f t="shared" si="0"/>
        <v>1</v>
      </c>
      <c r="K8" s="32">
        <f t="shared" si="0"/>
        <v>2</v>
      </c>
      <c r="L8" s="32">
        <f t="shared" si="0"/>
        <v>3</v>
      </c>
      <c r="M8" s="32">
        <f t="shared" si="0"/>
        <v>2</v>
      </c>
      <c r="N8" s="32">
        <f t="shared" si="0"/>
        <v>1</v>
      </c>
      <c r="O8" s="31"/>
      <c r="P8" s="52">
        <f>SUM(C8:N8)</f>
        <v>-1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>
        <v>22</v>
      </c>
      <c r="D11" s="10">
        <v>20</v>
      </c>
      <c r="E11" s="10">
        <v>16</v>
      </c>
      <c r="F11" s="10">
        <v>19</v>
      </c>
      <c r="G11" s="10">
        <v>14</v>
      </c>
      <c r="H11" s="10">
        <v>17</v>
      </c>
      <c r="I11" s="10">
        <v>15</v>
      </c>
      <c r="J11" s="10">
        <v>20</v>
      </c>
      <c r="K11" s="10">
        <v>21</v>
      </c>
      <c r="L11" s="10">
        <v>22</v>
      </c>
      <c r="M11" s="10">
        <v>21</v>
      </c>
      <c r="N11" s="10">
        <v>20</v>
      </c>
      <c r="P11" s="53">
        <f>SUM(C11:N11)</f>
        <v>227</v>
      </c>
    </row>
    <row r="12" spans="2:16" x14ac:dyDescent="0.35">
      <c r="B12" s="8" t="s">
        <v>15</v>
      </c>
      <c r="C12" s="11"/>
      <c r="D12" s="11"/>
      <c r="E12" s="11">
        <v>7</v>
      </c>
      <c r="F12" s="11"/>
      <c r="G12" s="11">
        <v>5</v>
      </c>
      <c r="H12" s="11">
        <v>5</v>
      </c>
      <c r="I12" s="11">
        <v>5</v>
      </c>
      <c r="J12" s="11">
        <v>0</v>
      </c>
      <c r="K12" s="11"/>
      <c r="L12" s="11"/>
      <c r="M12" s="11"/>
      <c r="N12" s="11"/>
      <c r="P12" s="53">
        <f>SUM(C12:N12)</f>
        <v>22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>
        <v>2</v>
      </c>
      <c r="K13" s="11"/>
      <c r="L13" s="11"/>
      <c r="M13" s="11"/>
      <c r="N13" s="11"/>
      <c r="P13" s="53">
        <f>SUM(C13:N13)</f>
        <v>2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5">
      <c r="B17" s="8" t="s">
        <v>6</v>
      </c>
      <c r="C17" s="9">
        <f>C11*Params!$C$5*(1-Params!$C$3)-Params!$C$4</f>
        <v>11664.2</v>
      </c>
      <c r="D17" s="9">
        <f>D11*Params!$C$5*(1-Params!$C$3)-Params!$C$4</f>
        <v>10597</v>
      </c>
      <c r="E17" s="9">
        <f>E11*Params!$C$5*(1-Params!$C$3)-Params!$C$4</f>
        <v>8462.6</v>
      </c>
      <c r="F17" s="9">
        <f>F11*Params!$C$5*(1-Params!$C$3)-Params!$C$4</f>
        <v>10063.4</v>
      </c>
      <c r="G17" s="9">
        <f>G11*Params!$C$5*(1-Params!$C$3)-Params!$C$4</f>
        <v>7395.4000000000005</v>
      </c>
      <c r="H17" s="9">
        <f>H11*Params!$C$5*(1-Params!$C$3)-Params!$C$4</f>
        <v>8996.2000000000007</v>
      </c>
      <c r="I17" s="9">
        <f>I11*Params!$C$5*(1-Params!$C$3)-Params!$C$4</f>
        <v>7929</v>
      </c>
      <c r="J17" s="9">
        <f>J11*Params!$C$5*(1-Params!$C$3)-Params!$C$4</f>
        <v>10597</v>
      </c>
      <c r="K17" s="9">
        <f>K11*Params!$C$5*(1-Params!$C$3)-Params!$C$4</f>
        <v>11130.6</v>
      </c>
      <c r="L17" s="9">
        <f>L11*Params!$C$5*(1-Params!$C$3)-Params!$C$4</f>
        <v>11664.2</v>
      </c>
      <c r="M17" s="9">
        <f>M11*Params!$C$5*(1-Params!$C$3)-Params!$C$4</f>
        <v>11130.6</v>
      </c>
      <c r="N17" s="9">
        <f>N11*Params!$C$5*(1-Params!$C$3)-Params!$C$4</f>
        <v>10597</v>
      </c>
      <c r="O17" s="4"/>
      <c r="P17" s="37">
        <f>SUM(C17:N17)</f>
        <v>120227.20000000001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 t="shared" ref="C19:N19" si="1">SUM(C17:C18)</f>
        <v>11664.2</v>
      </c>
      <c r="D19" s="25">
        <f t="shared" si="1"/>
        <v>10597</v>
      </c>
      <c r="E19" s="25">
        <f t="shared" si="1"/>
        <v>8462.6</v>
      </c>
      <c r="F19" s="25">
        <f t="shared" si="1"/>
        <v>10063.4</v>
      </c>
      <c r="G19" s="25">
        <f t="shared" si="1"/>
        <v>7395.4000000000005</v>
      </c>
      <c r="H19" s="25">
        <f t="shared" si="1"/>
        <v>8996.2000000000007</v>
      </c>
      <c r="I19" s="25">
        <f t="shared" si="1"/>
        <v>7929</v>
      </c>
      <c r="J19" s="25">
        <f t="shared" si="1"/>
        <v>10597</v>
      </c>
      <c r="K19" s="25">
        <f t="shared" si="1"/>
        <v>11130.6</v>
      </c>
      <c r="L19" s="25">
        <f t="shared" si="1"/>
        <v>11664.2</v>
      </c>
      <c r="M19" s="25">
        <f t="shared" si="1"/>
        <v>11130.6</v>
      </c>
      <c r="N19" s="25">
        <f t="shared" si="1"/>
        <v>10597</v>
      </c>
      <c r="O19" s="5"/>
      <c r="P19" s="38">
        <f>SUM(C19:N19)</f>
        <v>120227.20000000001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5">
      <c r="B22" s="8" t="s">
        <v>7</v>
      </c>
      <c r="C22" s="9">
        <v>6367.29</v>
      </c>
      <c r="D22" s="9">
        <v>6367.29</v>
      </c>
      <c r="E22" s="9">
        <v>6367.29</v>
      </c>
      <c r="F22" s="9">
        <v>6367.29</v>
      </c>
      <c r="G22" s="9">
        <v>6367.29</v>
      </c>
      <c r="H22" s="9">
        <v>6367.29</v>
      </c>
      <c r="I22" s="9">
        <v>6367.29</v>
      </c>
      <c r="J22" s="9">
        <v>5823.27</v>
      </c>
      <c r="K22" s="9">
        <v>6367.29</v>
      </c>
      <c r="L22" s="9">
        <v>6367.29</v>
      </c>
      <c r="M22" s="9">
        <v>6367.29</v>
      </c>
      <c r="N22" s="9">
        <v>6367.29</v>
      </c>
      <c r="O22" s="4"/>
      <c r="P22" s="39">
        <f>SUM(C22:N22)</f>
        <v>75863.459999999992</v>
      </c>
    </row>
    <row r="23" spans="2:16" x14ac:dyDescent="0.35">
      <c r="B23" s="8" t="s">
        <v>8</v>
      </c>
      <c r="C23" s="9">
        <f>1236.86+2473.75</f>
        <v>3710.6099999999997</v>
      </c>
      <c r="D23" s="9">
        <f>1236.86+2473.75</f>
        <v>3710.6099999999997</v>
      </c>
      <c r="E23" s="9">
        <f>1236.86+2473.75</f>
        <v>3710.6099999999997</v>
      </c>
      <c r="F23" s="9">
        <f>1236.86+2492.17</f>
        <v>3729.0299999999997</v>
      </c>
      <c r="G23" s="9">
        <f>1236.86+2476.78</f>
        <v>3713.6400000000003</v>
      </c>
      <c r="H23" s="9">
        <f>1236.86+2488.4</f>
        <v>3725.26</v>
      </c>
      <c r="I23" s="9">
        <f>1236.86+2488.4</f>
        <v>3725.26</v>
      </c>
      <c r="J23" s="9">
        <f>1129.56+2270.8</f>
        <v>3400.36</v>
      </c>
      <c r="K23" s="9">
        <f>1236.86+2475.26</f>
        <v>3712.12</v>
      </c>
      <c r="L23" s="9">
        <f>1236.86+2475.26</f>
        <v>3712.12</v>
      </c>
      <c r="M23" s="9">
        <f>1236.86+2475.26</f>
        <v>3712.12</v>
      </c>
      <c r="N23" s="9">
        <f>1236.86+2475.26</f>
        <v>3712.12</v>
      </c>
      <c r="O23" s="4"/>
      <c r="P23" s="39">
        <f>SUM(C23:N23)</f>
        <v>44273.860000000008</v>
      </c>
    </row>
    <row r="24" spans="2:16" x14ac:dyDescent="0.35">
      <c r="B24" s="60" t="s">
        <v>39</v>
      </c>
      <c r="C24" s="61"/>
      <c r="D24" s="61"/>
      <c r="E24" s="61">
        <v>486</v>
      </c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486</v>
      </c>
    </row>
    <row r="25" spans="2:16" x14ac:dyDescent="0.35">
      <c r="B25" s="7" t="s">
        <v>3</v>
      </c>
      <c r="C25" s="40">
        <f t="shared" ref="C25:N25" si="2">SUM(C22:C24)</f>
        <v>10077.9</v>
      </c>
      <c r="D25" s="40">
        <f t="shared" si="2"/>
        <v>10077.9</v>
      </c>
      <c r="E25" s="40">
        <f t="shared" si="2"/>
        <v>10563.9</v>
      </c>
      <c r="F25" s="40">
        <f t="shared" si="2"/>
        <v>10096.32</v>
      </c>
      <c r="G25" s="40">
        <f t="shared" si="2"/>
        <v>10080.93</v>
      </c>
      <c r="H25" s="40">
        <f t="shared" si="2"/>
        <v>10092.549999999999</v>
      </c>
      <c r="I25" s="40">
        <f t="shared" si="2"/>
        <v>10092.549999999999</v>
      </c>
      <c r="J25" s="40">
        <f t="shared" si="2"/>
        <v>9223.630000000001</v>
      </c>
      <c r="K25" s="40">
        <f t="shared" si="2"/>
        <v>10079.41</v>
      </c>
      <c r="L25" s="40">
        <f t="shared" si="2"/>
        <v>10079.41</v>
      </c>
      <c r="M25" s="40">
        <f t="shared" si="2"/>
        <v>10079.41</v>
      </c>
      <c r="N25" s="40">
        <f t="shared" si="2"/>
        <v>10079.41</v>
      </c>
      <c r="O25" s="4"/>
      <c r="P25" s="41">
        <f>SUM(C25:N25)</f>
        <v>120623.32000000002</v>
      </c>
    </row>
    <row r="26" spans="2:16" x14ac:dyDescent="0.3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5">
      <c r="B27" s="43" t="s">
        <v>25</v>
      </c>
      <c r="C27" s="44">
        <f t="shared" ref="C27:N27" si="3">C19-C25</f>
        <v>1586.3000000000011</v>
      </c>
      <c r="D27" s="44">
        <f t="shared" si="3"/>
        <v>519.10000000000036</v>
      </c>
      <c r="E27" s="44">
        <f t="shared" si="3"/>
        <v>-2101.2999999999993</v>
      </c>
      <c r="F27" s="44">
        <f t="shared" si="3"/>
        <v>-32.920000000000073</v>
      </c>
      <c r="G27" s="44">
        <f t="shared" si="3"/>
        <v>-2685.5299999999997</v>
      </c>
      <c r="H27" s="44">
        <f t="shared" si="3"/>
        <v>-1096.3499999999985</v>
      </c>
      <c r="I27" s="44">
        <f t="shared" si="3"/>
        <v>-2163.5499999999993</v>
      </c>
      <c r="J27" s="44">
        <f t="shared" si="3"/>
        <v>1373.369999999999</v>
      </c>
      <c r="K27" s="44">
        <f t="shared" si="3"/>
        <v>1051.1900000000005</v>
      </c>
      <c r="L27" s="44">
        <f t="shared" si="3"/>
        <v>1584.7900000000009</v>
      </c>
      <c r="M27" s="44">
        <f t="shared" si="3"/>
        <v>1051.1900000000005</v>
      </c>
      <c r="N27" s="44">
        <f t="shared" si="3"/>
        <v>517.59000000000015</v>
      </c>
      <c r="P27" s="54">
        <f>SUM(C27:N27)</f>
        <v>-396.11999999999443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L26" sqref="L26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5" t="s">
        <v>9</v>
      </c>
    </row>
    <row r="2" spans="2:16" x14ac:dyDescent="0.3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228</v>
      </c>
    </row>
    <row r="7" spans="2:16" x14ac:dyDescent="0.35">
      <c r="B7" s="8" t="s">
        <v>20</v>
      </c>
      <c r="C7" s="33">
        <v>18</v>
      </c>
      <c r="D7" s="33">
        <v>19</v>
      </c>
      <c r="E7" s="33">
        <v>20</v>
      </c>
      <c r="F7" s="33">
        <v>21</v>
      </c>
      <c r="G7" s="33">
        <v>17</v>
      </c>
      <c r="H7" s="33">
        <v>11</v>
      </c>
      <c r="I7" s="33">
        <v>23</v>
      </c>
      <c r="J7" s="33">
        <v>16</v>
      </c>
      <c r="K7" s="33">
        <v>21</v>
      </c>
      <c r="L7" s="33">
        <v>21</v>
      </c>
      <c r="M7" s="33">
        <v>19</v>
      </c>
      <c r="N7" s="33">
        <v>21</v>
      </c>
      <c r="O7" s="31"/>
      <c r="P7" s="52">
        <f>SUM(C7:N7)</f>
        <v>227</v>
      </c>
    </row>
    <row r="8" spans="2:16" x14ac:dyDescent="0.35">
      <c r="B8" s="16" t="s">
        <v>21</v>
      </c>
      <c r="C8" s="32">
        <f t="shared" ref="C8:N8" si="0">C7-C6</f>
        <v>-1</v>
      </c>
      <c r="D8" s="32">
        <f t="shared" si="0"/>
        <v>0</v>
      </c>
      <c r="E8" s="32">
        <f t="shared" si="0"/>
        <v>1</v>
      </c>
      <c r="F8" s="32">
        <f t="shared" si="0"/>
        <v>2</v>
      </c>
      <c r="G8" s="32">
        <f t="shared" si="0"/>
        <v>-2</v>
      </c>
      <c r="H8" s="32">
        <f t="shared" si="0"/>
        <v>-8</v>
      </c>
      <c r="I8" s="32">
        <f t="shared" si="0"/>
        <v>4</v>
      </c>
      <c r="J8" s="32">
        <f t="shared" si="0"/>
        <v>-3</v>
      </c>
      <c r="K8" s="32">
        <f t="shared" si="0"/>
        <v>2</v>
      </c>
      <c r="L8" s="32">
        <f t="shared" si="0"/>
        <v>2</v>
      </c>
      <c r="M8" s="32">
        <f t="shared" si="0"/>
        <v>0</v>
      </c>
      <c r="N8" s="32">
        <f t="shared" si="0"/>
        <v>2</v>
      </c>
      <c r="O8" s="31"/>
      <c r="P8" s="52">
        <f>SUM(C8:N8)</f>
        <v>-1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>
        <v>18</v>
      </c>
      <c r="D11" s="10">
        <v>19</v>
      </c>
      <c r="E11" s="10">
        <v>20.5</v>
      </c>
      <c r="F11" s="10">
        <v>21</v>
      </c>
      <c r="G11" s="10">
        <v>17</v>
      </c>
      <c r="H11" s="10">
        <v>11</v>
      </c>
      <c r="I11" s="10">
        <v>23</v>
      </c>
      <c r="J11" s="10">
        <v>16</v>
      </c>
      <c r="K11" s="10">
        <v>21</v>
      </c>
      <c r="L11" s="10">
        <v>21</v>
      </c>
      <c r="M11" s="10">
        <v>19</v>
      </c>
      <c r="N11" s="10">
        <v>21</v>
      </c>
      <c r="P11" s="53">
        <f>SUM(C11:N11)</f>
        <v>227.5</v>
      </c>
    </row>
    <row r="12" spans="2:16" x14ac:dyDescent="0.35">
      <c r="B12" s="8" t="s">
        <v>15</v>
      </c>
      <c r="C12" s="11">
        <v>4</v>
      </c>
      <c r="D12" s="11">
        <v>2</v>
      </c>
      <c r="E12" s="11">
        <v>0.5</v>
      </c>
      <c r="F12" s="11"/>
      <c r="G12" s="11">
        <v>2</v>
      </c>
      <c r="H12" s="11">
        <v>9</v>
      </c>
      <c r="I12" s="11"/>
      <c r="J12" s="11">
        <v>5</v>
      </c>
      <c r="K12" s="11"/>
      <c r="L12" s="11">
        <v>2</v>
      </c>
      <c r="M12" s="11"/>
      <c r="N12" s="11"/>
      <c r="P12" s="53">
        <f>SUM(C12:N12)</f>
        <v>24.5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5">
      <c r="B17" s="8" t="s">
        <v>6</v>
      </c>
      <c r="C17" s="9">
        <f>C11*Params!$C$5*(1-Params!$C$3)-Params!$C$4</f>
        <v>9529.8000000000011</v>
      </c>
      <c r="D17" s="9">
        <f>D11*Params!$C$5*(1-Params!$C$3)-Params!$C$4</f>
        <v>10063.4</v>
      </c>
      <c r="E17" s="9">
        <f>E11*Params!$C$5*(1-Params!$C$3)-Params!$C$4</f>
        <v>10863.800000000001</v>
      </c>
      <c r="F17" s="9">
        <f>F11*Params!$C$5*(1-Params!$C$3)-Params!$C$4</f>
        <v>11130.6</v>
      </c>
      <c r="G17" s="9">
        <f>G11*Params!$C$5*(1-Params!$C$3)-Params!$C$4</f>
        <v>8996.2000000000007</v>
      </c>
      <c r="H17" s="9">
        <f>H11*Params!$C$5*(1-Params!$C$3)-Params!$C$4</f>
        <v>5794.6</v>
      </c>
      <c r="I17" s="9">
        <f>I11*Params!$C$5*(1-Params!$C$3)-Params!$C$4</f>
        <v>12197.800000000001</v>
      </c>
      <c r="J17" s="9">
        <f>J11*Params!$C$5*(1-Params!$C$3)-Params!$C$4</f>
        <v>8462.6</v>
      </c>
      <c r="K17" s="9">
        <f>K11*Params!$C$5*(1-Params!$C$3)-Params!$C$4</f>
        <v>11130.6</v>
      </c>
      <c r="L17" s="9">
        <f>L11*Params!$C$5*(1-Params!$C$3)-Params!$C$4</f>
        <v>11130.6</v>
      </c>
      <c r="M17" s="9">
        <f>M11*Params!$C$5*(1-Params!$C$3)-Params!$C$4</f>
        <v>10063.4</v>
      </c>
      <c r="N17" s="9">
        <f>N11*Params!$C$5*(1-Params!$C$3)-Params!$C$4</f>
        <v>11130.6</v>
      </c>
      <c r="O17" s="4"/>
      <c r="P17" s="37">
        <f>SUM(C17:N17)</f>
        <v>120494.00000000001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 t="shared" ref="C19:N19" si="1">SUM(C17:C18)</f>
        <v>9529.8000000000011</v>
      </c>
      <c r="D19" s="25">
        <f t="shared" si="1"/>
        <v>10063.4</v>
      </c>
      <c r="E19" s="25">
        <f t="shared" si="1"/>
        <v>10863.800000000001</v>
      </c>
      <c r="F19" s="25">
        <f t="shared" si="1"/>
        <v>11130.6</v>
      </c>
      <c r="G19" s="25">
        <f t="shared" si="1"/>
        <v>8996.2000000000007</v>
      </c>
      <c r="H19" s="25">
        <f t="shared" si="1"/>
        <v>5794.6</v>
      </c>
      <c r="I19" s="25">
        <f t="shared" si="1"/>
        <v>12197.800000000001</v>
      </c>
      <c r="J19" s="25">
        <f t="shared" si="1"/>
        <v>8462.6</v>
      </c>
      <c r="K19" s="25">
        <f t="shared" si="1"/>
        <v>11130.6</v>
      </c>
      <c r="L19" s="25">
        <f t="shared" si="1"/>
        <v>11130.6</v>
      </c>
      <c r="M19" s="25">
        <f t="shared" si="1"/>
        <v>10063.4</v>
      </c>
      <c r="N19" s="25">
        <f t="shared" si="1"/>
        <v>11130.6</v>
      </c>
      <c r="O19" s="5"/>
      <c r="P19" s="38">
        <f>SUM(C19:O19)</f>
        <v>120494.00000000001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5">
      <c r="B22" s="8" t="s">
        <v>7</v>
      </c>
      <c r="C22" s="9">
        <v>6360.65</v>
      </c>
      <c r="D22" s="9">
        <v>6360.65</v>
      </c>
      <c r="E22" s="9">
        <v>6360.65</v>
      </c>
      <c r="F22" s="9">
        <v>5750.9</v>
      </c>
      <c r="G22" s="9">
        <v>5750.9</v>
      </c>
      <c r="H22" s="9">
        <v>5750.9</v>
      </c>
      <c r="I22" s="9">
        <v>6519.51</v>
      </c>
      <c r="J22" s="9">
        <v>5966.54</v>
      </c>
      <c r="K22" s="9">
        <v>5966.54</v>
      </c>
      <c r="L22" s="9">
        <v>5966.54</v>
      </c>
      <c r="M22" s="9">
        <v>5966.54</v>
      </c>
      <c r="N22" s="9">
        <v>5966.54</v>
      </c>
      <c r="O22" s="4"/>
      <c r="P22" s="39">
        <f>SUM(C22:N22)</f>
        <v>72686.86</v>
      </c>
    </row>
    <row r="23" spans="2:16" x14ac:dyDescent="0.35">
      <c r="B23" s="8" t="s">
        <v>8</v>
      </c>
      <c r="C23" s="9">
        <f>1250.35+2492.72</f>
        <v>3743.0699999999997</v>
      </c>
      <c r="D23" s="9">
        <f>1250.35+2503.25</f>
        <v>3753.6</v>
      </c>
      <c r="E23" s="9">
        <f>1250.35+2497.97</f>
        <v>3748.3199999999997</v>
      </c>
      <c r="F23" s="9">
        <f>1223.15+2398.64</f>
        <v>3621.79</v>
      </c>
      <c r="G23" s="9">
        <f>1223.15+2423.65</f>
        <v>3646.8</v>
      </c>
      <c r="H23" s="9">
        <f>1223.15+2428.07</f>
        <v>3651.2200000000003</v>
      </c>
      <c r="I23" s="9">
        <f>1309.88+2614.9</f>
        <v>3924.78</v>
      </c>
      <c r="J23" s="9">
        <f>1248.59+2479.97</f>
        <v>3728.5599999999995</v>
      </c>
      <c r="K23" s="9">
        <f>1248.59+2491.04</f>
        <v>3739.63</v>
      </c>
      <c r="L23" s="9">
        <f>1248.59+2479.97</f>
        <v>3728.5599999999995</v>
      </c>
      <c r="M23" s="9">
        <f>1248.59+2484.39</f>
        <v>3732.9799999999996</v>
      </c>
      <c r="N23" s="9">
        <f>1248.59+2479.97</f>
        <v>3728.5599999999995</v>
      </c>
      <c r="O23" s="4"/>
      <c r="P23" s="39">
        <f>SUM(C23:N23)</f>
        <v>44747.869999999995</v>
      </c>
    </row>
    <row r="24" spans="2:16" x14ac:dyDescent="0.35">
      <c r="B24" s="60" t="s">
        <v>40</v>
      </c>
      <c r="C24" s="61"/>
      <c r="D24" s="61"/>
      <c r="E24" s="61"/>
      <c r="F24" s="61">
        <v>596.44000000000005</v>
      </c>
      <c r="G24" s="61">
        <v>501.88</v>
      </c>
      <c r="H24" s="61">
        <v>360.04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4"/>
      <c r="P24" s="39">
        <f>SUM(C24:N24)</f>
        <v>1458.3600000000001</v>
      </c>
    </row>
    <row r="25" spans="2:16" x14ac:dyDescent="0.35">
      <c r="B25" s="8" t="s">
        <v>43</v>
      </c>
      <c r="C25" s="9"/>
      <c r="D25" s="9"/>
      <c r="E25" s="9"/>
      <c r="F25" s="9"/>
      <c r="G25" s="9"/>
      <c r="H25" s="9"/>
      <c r="I25" s="9"/>
      <c r="J25" s="9"/>
      <c r="K25" s="9"/>
      <c r="L25" s="9">
        <v>297.49</v>
      </c>
      <c r="M25" s="9"/>
      <c r="N25" s="9"/>
      <c r="O25" s="4"/>
      <c r="P25" s="39">
        <f>SUM(C25:N25)</f>
        <v>297.49</v>
      </c>
    </row>
    <row r="26" spans="2:16" x14ac:dyDescent="0.35">
      <c r="B26" s="7" t="s">
        <v>3</v>
      </c>
      <c r="C26" s="40">
        <f t="shared" ref="C26:N26" si="2">SUM(C22:C24)</f>
        <v>10103.719999999999</v>
      </c>
      <c r="D26" s="40">
        <f t="shared" si="2"/>
        <v>10114.25</v>
      </c>
      <c r="E26" s="40">
        <f t="shared" si="2"/>
        <v>10108.969999999999</v>
      </c>
      <c r="F26" s="40">
        <f t="shared" si="2"/>
        <v>9969.1299999999992</v>
      </c>
      <c r="G26" s="40">
        <f t="shared" si="2"/>
        <v>9899.58</v>
      </c>
      <c r="H26" s="40">
        <f t="shared" si="2"/>
        <v>9762.16</v>
      </c>
      <c r="I26" s="40">
        <f t="shared" si="2"/>
        <v>10444.290000000001</v>
      </c>
      <c r="J26" s="40">
        <f t="shared" si="2"/>
        <v>9695.0999999999985</v>
      </c>
      <c r="K26" s="40">
        <f t="shared" si="2"/>
        <v>9706.17</v>
      </c>
      <c r="L26" s="40">
        <f>SUM(L22:L25)</f>
        <v>9992.5899999999983</v>
      </c>
      <c r="M26" s="40">
        <f t="shared" si="2"/>
        <v>9699.52</v>
      </c>
      <c r="N26" s="40">
        <f t="shared" si="2"/>
        <v>9695.0999999999985</v>
      </c>
      <c r="O26" s="4"/>
      <c r="P26" s="41">
        <f>SUM(C26:N26)</f>
        <v>119190.58000000002</v>
      </c>
    </row>
    <row r="27" spans="2:16" x14ac:dyDescent="0.3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5">
      <c r="B28" s="43" t="s">
        <v>25</v>
      </c>
      <c r="C28" s="44">
        <f t="shared" ref="C28:N28" si="3">C19-C26</f>
        <v>-573.91999999999825</v>
      </c>
      <c r="D28" s="44">
        <f t="shared" si="3"/>
        <v>-50.850000000000364</v>
      </c>
      <c r="E28" s="44">
        <f t="shared" si="3"/>
        <v>754.83000000000175</v>
      </c>
      <c r="F28" s="44">
        <f t="shared" si="3"/>
        <v>1161.4700000000012</v>
      </c>
      <c r="G28" s="44">
        <f t="shared" si="3"/>
        <v>-903.3799999999992</v>
      </c>
      <c r="H28" s="44">
        <f t="shared" si="3"/>
        <v>-3967.5599999999995</v>
      </c>
      <c r="I28" s="44">
        <f t="shared" si="3"/>
        <v>1753.5100000000002</v>
      </c>
      <c r="J28" s="44">
        <f t="shared" si="3"/>
        <v>-1232.4999999999982</v>
      </c>
      <c r="K28" s="44">
        <f t="shared" si="3"/>
        <v>1424.4300000000003</v>
      </c>
      <c r="L28" s="44">
        <f t="shared" si="3"/>
        <v>1138.010000000002</v>
      </c>
      <c r="M28" s="44">
        <f t="shared" si="3"/>
        <v>363.8799999999992</v>
      </c>
      <c r="N28" s="44">
        <f t="shared" si="3"/>
        <v>1435.5000000000018</v>
      </c>
      <c r="P28" s="54">
        <f>SUM(C28:O28)</f>
        <v>1303.420000000011</v>
      </c>
    </row>
    <row r="30" spans="2:16" x14ac:dyDescent="0.35">
      <c r="B30" s="62" t="s">
        <v>41</v>
      </c>
      <c r="C30" s="63"/>
      <c r="D30" s="63"/>
      <c r="E30" s="63"/>
      <c r="F30" s="63">
        <v>1260</v>
      </c>
      <c r="G30" s="63">
        <v>1020</v>
      </c>
      <c r="H30" s="63">
        <v>660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P30" s="64">
        <f>SUM(C30:N30)</f>
        <v>2940</v>
      </c>
    </row>
    <row r="31" spans="2:16" x14ac:dyDescent="0.35">
      <c r="B31" s="62" t="s">
        <v>42</v>
      </c>
      <c r="C31" s="63"/>
      <c r="D31" s="63"/>
      <c r="E31" s="63"/>
      <c r="F31" s="63">
        <v>596.44000000000005</v>
      </c>
      <c r="G31" s="63">
        <v>501.88</v>
      </c>
      <c r="H31" s="63">
        <v>360.04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P31" s="64">
        <f>SUM(C31:N31)</f>
        <v>1458.3600000000001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abSelected="1" topLeftCell="A15" workbookViewId="0">
      <selection activeCell="F25" sqref="F25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5" t="s">
        <v>9</v>
      </c>
    </row>
    <row r="2" spans="2:16" x14ac:dyDescent="0.3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76</v>
      </c>
    </row>
    <row r="7" spans="2:16" x14ac:dyDescent="0.35">
      <c r="B7" s="8" t="s">
        <v>20</v>
      </c>
      <c r="C7" s="33">
        <v>22</v>
      </c>
      <c r="D7" s="33">
        <v>20</v>
      </c>
      <c r="E7" s="33">
        <v>21</v>
      </c>
      <c r="F7" s="33">
        <v>19.5</v>
      </c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82.5</v>
      </c>
    </row>
    <row r="8" spans="2:16" x14ac:dyDescent="0.35">
      <c r="B8" s="16" t="s">
        <v>21</v>
      </c>
      <c r="C8" s="32">
        <f t="shared" ref="C8:N8" si="0">C7-C6</f>
        <v>3</v>
      </c>
      <c r="D8" s="32">
        <f t="shared" si="0"/>
        <v>1</v>
      </c>
      <c r="E8" s="32">
        <f t="shared" si="0"/>
        <v>2</v>
      </c>
      <c r="F8" s="32">
        <f t="shared" si="0"/>
        <v>0.5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6.5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>
        <v>22</v>
      </c>
      <c r="D11" s="10">
        <v>20</v>
      </c>
      <c r="E11" s="10">
        <v>21</v>
      </c>
      <c r="F11" s="10">
        <v>19.5</v>
      </c>
      <c r="G11" s="10"/>
      <c r="H11" s="10"/>
      <c r="I11" s="10"/>
      <c r="J11" s="10"/>
      <c r="K11" s="10"/>
      <c r="L11" s="10"/>
      <c r="M11" s="10"/>
      <c r="N11" s="10"/>
      <c r="P11" s="53">
        <f>SUM(C11:N11)</f>
        <v>82.5</v>
      </c>
    </row>
    <row r="12" spans="2:16" x14ac:dyDescent="0.35">
      <c r="B12" s="8" t="s">
        <v>15</v>
      </c>
      <c r="C12" s="11"/>
      <c r="D12" s="11"/>
      <c r="E12" s="11"/>
      <c r="F12" s="11">
        <v>1.5</v>
      </c>
      <c r="G12" s="11"/>
      <c r="H12" s="11"/>
      <c r="I12" s="11"/>
      <c r="J12" s="11"/>
      <c r="K12" s="11"/>
      <c r="L12" s="11"/>
      <c r="M12" s="11"/>
      <c r="N12" s="11"/>
      <c r="P12" s="53">
        <f>SUM(C12:N12)</f>
        <v>1.5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5">
      <c r="B17" s="8" t="s">
        <v>6</v>
      </c>
      <c r="C17" s="9">
        <f>C11*Params!$C$5*(1-Params!$C$3)-Params!$C$4</f>
        <v>11664.2</v>
      </c>
      <c r="D17" s="9">
        <f>D11*Params!$C$5*(1-Params!$C$3)-Params!$C$4</f>
        <v>10597</v>
      </c>
      <c r="E17" s="9">
        <f>E11*Params!$C$5*(1-Params!$C$3)-Params!$C$4</f>
        <v>11130.6</v>
      </c>
      <c r="F17" s="9">
        <f>F11*Params!$C$5*(1-Params!$C$3)-Params!$C$4</f>
        <v>10330.200000000001</v>
      </c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43722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 t="shared" ref="C19:N19" si="1">SUM(C17:C18)</f>
        <v>11664.2</v>
      </c>
      <c r="D19" s="25">
        <f t="shared" si="1"/>
        <v>10597</v>
      </c>
      <c r="E19" s="25">
        <f t="shared" si="1"/>
        <v>11130.6</v>
      </c>
      <c r="F19" s="25">
        <f t="shared" si="1"/>
        <v>10330.200000000001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43722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5">
      <c r="B22" s="8" t="s">
        <v>7</v>
      </c>
      <c r="C22" s="9">
        <v>6247.59</v>
      </c>
      <c r="D22" s="9">
        <v>6247.59</v>
      </c>
      <c r="E22" s="9">
        <v>6247.59</v>
      </c>
      <c r="F22" s="9">
        <v>6247.59</v>
      </c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24990.36</v>
      </c>
    </row>
    <row r="23" spans="2:16" x14ac:dyDescent="0.35">
      <c r="B23" s="8" t="s">
        <v>8</v>
      </c>
      <c r="C23" s="9">
        <f>1254.5+2486.31</f>
        <v>3740.81</v>
      </c>
      <c r="D23" s="9">
        <f>1254.5+2486.31</f>
        <v>3740.81</v>
      </c>
      <c r="E23" s="9">
        <f>1254.5+2486.31</f>
        <v>3740.81</v>
      </c>
      <c r="F23" s="9">
        <f>1254.5+2486.31</f>
        <v>3740.81</v>
      </c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14963.24</v>
      </c>
    </row>
    <row r="24" spans="2:16" x14ac:dyDescent="0.35">
      <c r="B24" s="8" t="s">
        <v>43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0</v>
      </c>
    </row>
    <row r="25" spans="2:16" x14ac:dyDescent="0.35">
      <c r="B25" s="7" t="s">
        <v>3</v>
      </c>
      <c r="C25" s="40">
        <f t="shared" ref="C25:K25" si="2">SUM(C22:C23)</f>
        <v>9988.4</v>
      </c>
      <c r="D25" s="40">
        <f t="shared" si="2"/>
        <v>9988.4</v>
      </c>
      <c r="E25" s="40">
        <f t="shared" si="2"/>
        <v>9988.4</v>
      </c>
      <c r="F25" s="40">
        <f t="shared" si="2"/>
        <v>9988.4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>SUM(L22:L24)</f>
        <v>0</v>
      </c>
      <c r="M25" s="40">
        <f>SUM(M22:M23)</f>
        <v>0</v>
      </c>
      <c r="N25" s="40">
        <f>SUM(N22:N23)</f>
        <v>0</v>
      </c>
      <c r="O25" s="4"/>
      <c r="P25" s="41">
        <f>SUM(C25:N25)</f>
        <v>39953.599999999999</v>
      </c>
    </row>
    <row r="26" spans="2:16" x14ac:dyDescent="0.3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5">
      <c r="B27" s="43" t="s">
        <v>25</v>
      </c>
      <c r="C27" s="44">
        <f t="shared" ref="C27:N27" si="3">C19-C25</f>
        <v>1675.8000000000011</v>
      </c>
      <c r="D27" s="44">
        <f t="shared" si="3"/>
        <v>608.60000000000036</v>
      </c>
      <c r="E27" s="44">
        <f t="shared" si="3"/>
        <v>1142.2000000000007</v>
      </c>
      <c r="F27" s="44">
        <f t="shared" si="3"/>
        <v>341.80000000000109</v>
      </c>
      <c r="G27" s="44">
        <f t="shared" si="3"/>
        <v>0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3768.4000000000033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F5" sqref="F5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7" t="s">
        <v>22</v>
      </c>
      <c r="C2" s="68"/>
    </row>
    <row r="3" spans="2:3" ht="30" customHeight="1" x14ac:dyDescent="0.35">
      <c r="B3" s="29" t="s">
        <v>11</v>
      </c>
      <c r="C3" s="30">
        <v>0.08</v>
      </c>
    </row>
    <row r="4" spans="2:3" ht="30" customHeight="1" x14ac:dyDescent="0.35">
      <c r="B4" s="29" t="s">
        <v>12</v>
      </c>
      <c r="C4" s="29">
        <v>75</v>
      </c>
    </row>
    <row r="5" spans="2:3" ht="30" customHeight="1" x14ac:dyDescent="0.35">
      <c r="B5" s="29" t="s">
        <v>38</v>
      </c>
      <c r="C5" s="29">
        <v>580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3" sqref="C3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69" t="s">
        <v>23</v>
      </c>
      <c r="C2" s="69"/>
    </row>
    <row r="3" spans="2:3" ht="17" customHeight="1" x14ac:dyDescent="0.35">
      <c r="B3" s="34" t="s">
        <v>24</v>
      </c>
      <c r="C3" s="35">
        <f>'2022'!P26+'2023'!P27+'2024'!P28+'2025'!P27</f>
        <v>5718.2800000000207</v>
      </c>
    </row>
    <row r="4" spans="2:3" ht="17" customHeight="1" x14ac:dyDescent="0.35">
      <c r="B4" s="34" t="s">
        <v>26</v>
      </c>
      <c r="C4" s="36">
        <f>SUM('2022'!P12)+('2023'!P12)+('2024'!P12)+'2025'!P12</f>
        <v>48</v>
      </c>
    </row>
    <row r="5" spans="2:3" x14ac:dyDescent="0.35">
      <c r="B5" t="s">
        <v>44</v>
      </c>
      <c r="C5">
        <f>(29*2.08)-C4</f>
        <v>12.32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131</vt:i4>
      </vt:variant>
    </vt:vector>
  </HeadingPairs>
  <TitlesOfParts>
    <vt:vector size="137" baseType="lpstr">
      <vt:lpstr>2022</vt:lpstr>
      <vt:lpstr>2023</vt:lpstr>
      <vt:lpstr>2024</vt:lpstr>
      <vt:lpstr>2025</vt:lpstr>
      <vt:lpstr>Params</vt:lpstr>
      <vt:lpstr>Synthése</vt:lpstr>
      <vt:lpstr>'2022'!AOUT</vt:lpstr>
      <vt:lpstr>'2023'!AOUT</vt:lpstr>
      <vt:lpstr>'2024'!AOUT</vt:lpstr>
      <vt:lpstr>'2025'!AOUT</vt:lpstr>
      <vt:lpstr>'2022'!AVRIL</vt:lpstr>
      <vt:lpstr>'2023'!AVRIL</vt:lpstr>
      <vt:lpstr>'2024'!AVRIL</vt:lpstr>
      <vt:lpstr>'2025'!AVRIL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'2022'!FEVRIER</vt:lpstr>
      <vt:lpstr>'2023'!FEVRIER</vt:lpstr>
      <vt:lpstr>'2024'!FEVRIER</vt:lpstr>
      <vt:lpstr>'2025'!FEVRIER</vt:lpstr>
      <vt:lpstr>FRAIS_KM</vt:lpstr>
      <vt:lpstr>'2022'!JANVIER</vt:lpstr>
      <vt:lpstr>'2023'!JANVIER</vt:lpstr>
      <vt:lpstr>'2024'!JANVIER</vt:lpstr>
      <vt:lpstr>'2025'!JANVIER</vt:lpstr>
      <vt:lpstr>'2022'!JUILLET</vt:lpstr>
      <vt:lpstr>'2023'!JUILLET</vt:lpstr>
      <vt:lpstr>'2024'!JUILLET</vt:lpstr>
      <vt:lpstr>'2025'!JUILLET</vt:lpstr>
      <vt:lpstr>'2022'!JUIN</vt:lpstr>
      <vt:lpstr>'2023'!JUIN</vt:lpstr>
      <vt:lpstr>'2024'!JUIN</vt:lpstr>
      <vt:lpstr>'2025'!JUIN</vt:lpstr>
      <vt:lpstr>'2022'!MAI</vt:lpstr>
      <vt:lpstr>'2023'!MAI</vt:lpstr>
      <vt:lpstr>'2024'!MAI</vt:lpstr>
      <vt:lpstr>'2025'!MAI</vt:lpstr>
      <vt:lpstr>'2022'!MARS</vt:lpstr>
      <vt:lpstr>'2023'!MARS</vt:lpstr>
      <vt:lpstr>'2024'!MARS</vt:lpstr>
      <vt:lpstr>'2025'!MARS</vt:lpstr>
      <vt:lpstr>'2022'!MOIS</vt:lpstr>
      <vt:lpstr>'2023'!MOIS</vt:lpstr>
      <vt:lpstr>'2024'!MOIS</vt:lpstr>
      <vt:lpstr>'2025'!MOIS</vt:lpstr>
      <vt:lpstr>NOMBRE_KM</vt:lpstr>
      <vt:lpstr>'2022'!NOVEMBRE</vt:lpstr>
      <vt:lpstr>'2023'!NOVEMBRE</vt:lpstr>
      <vt:lpstr>'2024'!NOVEMBRE</vt:lpstr>
      <vt:lpstr>'2025'!NOVEMBRE</vt:lpstr>
      <vt:lpstr>'2022'!OCTOBRE</vt:lpstr>
      <vt:lpstr>'2023'!OCTOBRE</vt:lpstr>
      <vt:lpstr>'2024'!OCTOBRE</vt:lpstr>
      <vt:lpstr>'2025'!OCTOBRE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'2022'!SEPTEMBRE</vt:lpstr>
      <vt:lpstr>'2023'!SEPTEMBRE</vt:lpstr>
      <vt:lpstr>'2024'!SEPTEMBRE</vt:lpstr>
      <vt:lpstr>'2025'!SEPTEMBRE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SORTIES_FRAIS_KM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2025-05-05T22:34:45Z</dcterms:modified>
</cp:coreProperties>
</file>