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4\Normal\"/>
    </mc:Choice>
  </mc:AlternateContent>
  <xr:revisionPtr revIDLastSave="0" documentId="13_ncr:1_{314EC04D-48A8-4CEB-801C-AD26C8338188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3" sheetId="14" r:id="rId1"/>
    <sheet name="2024" sheetId="15" r:id="rId2"/>
    <sheet name="2025" sheetId="16" r:id="rId3"/>
    <sheet name="Params" sheetId="10" r:id="rId4"/>
    <sheet name="Synthése" sheetId="13" r:id="rId5"/>
  </sheets>
  <definedNames>
    <definedName name="AOUT" localSheetId="0">'2023'!$J$3</definedName>
    <definedName name="AOUT" localSheetId="1">'2024'!$J$3</definedName>
    <definedName name="AOUT" localSheetId="2">'2025'!$J$3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 localSheetId="2">'2025'!#REF!</definedName>
    <definedName name="AVANCE_SUR_SALAIRE">#REF!</definedName>
    <definedName name="AVRIL" localSheetId="0">'2023'!$F$3</definedName>
    <definedName name="AVRIL" localSheetId="1">'2024'!$F$3</definedName>
    <definedName name="AVRIL" localSheetId="2">'2025'!$F$3</definedName>
    <definedName name="AVRIL">#REF!</definedName>
    <definedName name="CRA" localSheetId="0">'2023'!$B$10</definedName>
    <definedName name="CRA" localSheetId="1">'2024'!$B$10</definedName>
    <definedName name="CRA" localSheetId="2">'2025'!$B$10</definedName>
    <definedName name="CRA">#REF!</definedName>
    <definedName name="CRA_ASTREINTE" localSheetId="0">'2023'!$B$14</definedName>
    <definedName name="CRA_ASTREINTE" localSheetId="1">'2024'!$B$16</definedName>
    <definedName name="CRA_ASTREINTE" localSheetId="2">'2025'!$B$16</definedName>
    <definedName name="CRA_ASTREINTE">#REF!</definedName>
    <definedName name="CRA_CP" localSheetId="0">'2023'!$B$12</definedName>
    <definedName name="CRA_CP" localSheetId="1">'2024'!$B$12</definedName>
    <definedName name="CRA_CP" localSheetId="2">'2025'!$B$12</definedName>
    <definedName name="CRA_CP">#REF!</definedName>
    <definedName name="CRA_PRODUCTION" localSheetId="0">'2023'!$B$11</definedName>
    <definedName name="CRA_PRODUCTION" localSheetId="1">'2024'!$B$11</definedName>
    <definedName name="CRA_PRODUCTION" localSheetId="2">'2025'!$B$11</definedName>
    <definedName name="CRA_PRODUCTION">#REF!</definedName>
    <definedName name="CRA_SANS_SOLDE" localSheetId="0">'2023'!$B$13</definedName>
    <definedName name="CRA_SANS_SOLDE" localSheetId="1">'2024'!$B$15</definedName>
    <definedName name="CRA_SANS_SOLDE" localSheetId="2">'2025'!$B$15</definedName>
    <definedName name="CRA_SANS_SOLDE">#REF!</definedName>
    <definedName name="DECEMBRE" localSheetId="0">'2023'!$N$3</definedName>
    <definedName name="DECEMBRE" localSheetId="1">'2024'!$N$3</definedName>
    <definedName name="DECEMBRE" localSheetId="2">'2025'!$N$3</definedName>
    <definedName name="DECEMBRE">#REF!</definedName>
    <definedName name="ENTREES" localSheetId="0">'2023'!$B$16</definedName>
    <definedName name="ENTREES" localSheetId="1">'2024'!$B$18</definedName>
    <definedName name="ENTREES" localSheetId="2">'2025'!$B$18</definedName>
    <definedName name="ENTREES">#REF!</definedName>
    <definedName name="ENTREES_ASTREINTE" localSheetId="0">'2023'!$B$18</definedName>
    <definedName name="ENTREES_ASTREINTE" localSheetId="1">'2024'!$B$20</definedName>
    <definedName name="ENTREES_ASTREINTE" localSheetId="2">'2025'!$B$20</definedName>
    <definedName name="ENTREES_ASTREINTE">#REF!</definedName>
    <definedName name="ENTREES_FACTURE" localSheetId="0">'2023'!$B$17</definedName>
    <definedName name="ENTREES_FACTURE" localSheetId="1">'2024'!$B$19</definedName>
    <definedName name="ENTREES_FACTURE" localSheetId="2">'2025'!$B$19</definedName>
    <definedName name="ENTREES_FACTURE">#REF!</definedName>
    <definedName name="FEVRIER" localSheetId="0">'2023'!$D$3</definedName>
    <definedName name="FEVRIER" localSheetId="1">'2024'!$D$3</definedName>
    <definedName name="FEVRIER" localSheetId="2">'2025'!$D$3</definedName>
    <definedName name="FEVRIER">#REF!</definedName>
    <definedName name="FRAIS_KM" localSheetId="0">'2023'!$B$31</definedName>
    <definedName name="FRAIS_KM" localSheetId="1">'2024'!$B$36</definedName>
    <definedName name="FRAIS_KM" localSheetId="2">'2025'!$B$36</definedName>
    <definedName name="JANVIER" localSheetId="0">'2023'!$C$3</definedName>
    <definedName name="JANVIER" localSheetId="1">'2024'!$C$3</definedName>
    <definedName name="JANVIER" localSheetId="2">'2025'!$C$3</definedName>
    <definedName name="JANVIER">#REF!</definedName>
    <definedName name="JUILLET" localSheetId="0">'2023'!$I$3</definedName>
    <definedName name="JUILLET" localSheetId="1">'2024'!$I$3</definedName>
    <definedName name="JUILLET" localSheetId="2">'2025'!$I$3</definedName>
    <definedName name="JUILLET">#REF!</definedName>
    <definedName name="JUIN" localSheetId="0">'2023'!$H$3</definedName>
    <definedName name="JUIN" localSheetId="1">'2024'!$H$3</definedName>
    <definedName name="JUIN" localSheetId="2">'2025'!$H$3</definedName>
    <definedName name="JUIN">#REF!</definedName>
    <definedName name="MAI" localSheetId="0">'2023'!$G$3</definedName>
    <definedName name="MAI" localSheetId="1">'2024'!$G$3</definedName>
    <definedName name="MAI" localSheetId="2">'2025'!$G$3</definedName>
    <definedName name="MAI">#REF!</definedName>
    <definedName name="MARS" localSheetId="0">'2023'!$E$3</definedName>
    <definedName name="MARS" localSheetId="1">'2024'!$E$3</definedName>
    <definedName name="MARS" localSheetId="2">'2025'!$E$3</definedName>
    <definedName name="MARS">#REF!</definedName>
    <definedName name="MOIS" localSheetId="0">'2023'!$B$3</definedName>
    <definedName name="MOIS" localSheetId="1">'2024'!$B$3</definedName>
    <definedName name="MOIS" localSheetId="2">'2025'!$B$3</definedName>
    <definedName name="MOIS">#REF!</definedName>
    <definedName name="NOMBRE_KM" localSheetId="0">'2023'!$B$30</definedName>
    <definedName name="NOMBRE_KM" localSheetId="1">'2024'!$B$35</definedName>
    <definedName name="NOMBRE_KM" localSheetId="2">'2025'!$B$35</definedName>
    <definedName name="NOVEMBRE" localSheetId="0">'2023'!$M$3</definedName>
    <definedName name="NOVEMBRE" localSheetId="1">'2024'!$M$3</definedName>
    <definedName name="NOVEMBRE" localSheetId="2">'2025'!$M$3</definedName>
    <definedName name="NOVEMBRE">#REF!</definedName>
    <definedName name="OCTOBRE" localSheetId="0">'2023'!$L$3</definedName>
    <definedName name="OCTOBRE" localSheetId="1">'2024'!$L$3</definedName>
    <definedName name="OCTOBRE" localSheetId="2">'2025'!$L$3</definedName>
    <definedName name="OCTOBRE">#REF!</definedName>
    <definedName name="REPAS" localSheetId="0">'2023'!$B$5</definedName>
    <definedName name="REPAS" localSheetId="1">'2024'!$B$5</definedName>
    <definedName name="REPAS" localSheetId="2">'2025'!$B$5</definedName>
    <definedName name="REPAS">#REF!</definedName>
    <definedName name="REPAS_ACQUIS" localSheetId="0">'2023'!$B$7</definedName>
    <definedName name="REPAS_ACQUIS" localSheetId="1">'2024'!$B$7</definedName>
    <definedName name="REPAS_ACQUIS" localSheetId="2">'2025'!$B$7</definedName>
    <definedName name="REPAS_ACQUIS">#REF!</definedName>
    <definedName name="REPAS_PRIS" localSheetId="0">'2023'!$B$6</definedName>
    <definedName name="REPAS_PRIS" localSheetId="1">'2024'!$B$6</definedName>
    <definedName name="REPAS_PRIS" localSheetId="2">'2025'!$B$6</definedName>
    <definedName name="REPAS_PRIS">#REF!</definedName>
    <definedName name="REPAS_SOLDE" localSheetId="0">'2023'!$B$8</definedName>
    <definedName name="REPAS_SOLDE" localSheetId="1">'2024'!$B$8</definedName>
    <definedName name="REPAS_SOLDE" localSheetId="2">'2025'!$B$8</definedName>
    <definedName name="REPAS_SOLDE">#REF!</definedName>
    <definedName name="SEPTEMBRE" localSheetId="0">'2023'!$K$3</definedName>
    <definedName name="SEPTEMBRE" localSheetId="1">'2024'!$K$3</definedName>
    <definedName name="SEPTEMBRE" localSheetId="2">'2025'!$K$3</definedName>
    <definedName name="SEPTEMBRE">#REF!</definedName>
    <definedName name="SOLDE" localSheetId="0">'2023'!$B$28</definedName>
    <definedName name="SOLDE" localSheetId="1">'2024'!$B$33</definedName>
    <definedName name="SOLDE" localSheetId="2">'2025'!$B$33</definedName>
    <definedName name="SORTIES" localSheetId="0">'2023'!$B$21</definedName>
    <definedName name="SORTIES" localSheetId="1">'2024'!$B$23</definedName>
    <definedName name="SORTIES" localSheetId="2">'2025'!$B$23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 localSheetId="2">'2025'!#REF!</definedName>
    <definedName name="SORTIES_ABONDEMENT">#REF!</definedName>
    <definedName name="SORTIES_CHARGES_SOCIALES_PATRONALES" localSheetId="0">'2023'!$B$23</definedName>
    <definedName name="SORTIES_CHARGES_SOCIALES_PATRONALES" localSheetId="1">'2024'!$B$25</definedName>
    <definedName name="SORTIES_CHARGES_SOCIALES_PATRONALES" localSheetId="2">'2025'!$B$25</definedName>
    <definedName name="SORTIES_CHARGES_SOCIALES_PATRONALES">#REF!</definedName>
    <definedName name="SORTIES_FRAIS_KM" localSheetId="0">'2023'!$B$24</definedName>
    <definedName name="SORTIES_FRAIS_KM" localSheetId="1">'2024'!$B$26</definedName>
    <definedName name="SORTIES_FRAIS_KM" localSheetId="2">'2025'!$B$26</definedName>
    <definedName name="SORTIES_FRAIS_PEE_AMUNDI" localSheetId="0">'2023'!#REF!</definedName>
    <definedName name="SORTIES_FRAIS_PEE_AMUNDI" localSheetId="1">'2024'!#REF!</definedName>
    <definedName name="SORTIES_FRAIS_PEE_AMUNDI" localSheetId="2">'2025'!#REF!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 localSheetId="2">'2025'!#REF!</definedName>
    <definedName name="SORTIES_INTERESSEMENT">#REF!</definedName>
    <definedName name="SORTIES_SALAIRE_NET" localSheetId="0">'2023'!$B$22</definedName>
    <definedName name="SORTIES_SALAIRE_NET" localSheetId="1">'2024'!$B$24</definedName>
    <definedName name="SORTIES_SALAIRE_NET" localSheetId="2">'2025'!$B$24</definedName>
    <definedName name="SORTIES_SALAIRE_NET">#REF!</definedName>
    <definedName name="TOTAL" localSheetId="0">'2023'!$P$3</definedName>
    <definedName name="TOTAL" localSheetId="1">'2024'!$P$3</definedName>
    <definedName name="TOTAL" localSheetId="2">'2025'!$P$3</definedName>
    <definedName name="TOTAL">#REF!</definedName>
    <definedName name="TOTAL_ENTREES" localSheetId="0">'2023'!$B$19</definedName>
    <definedName name="TOTAL_ENTREES" localSheetId="1">'2024'!$B$21</definedName>
    <definedName name="TOTAL_ENTREES" localSheetId="2">'2025'!$B$21</definedName>
    <definedName name="TOTAL_ENTREES">#REF!</definedName>
    <definedName name="TOTAL_SORTIES" localSheetId="0">'2023'!$B$26</definedName>
    <definedName name="TOTAL_SORTIES" localSheetId="1">'2024'!$B$29</definedName>
    <definedName name="TOTAL_SORTIES" localSheetId="2">'2025'!$B$29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19" i="16" l="1"/>
  <c r="F25" i="16" l="1"/>
  <c r="F19" i="16"/>
  <c r="P36" i="16" l="1"/>
  <c r="P35" i="16"/>
  <c r="G33" i="16"/>
  <c r="P31" i="16"/>
  <c r="N29" i="16"/>
  <c r="M29" i="16"/>
  <c r="L29" i="16"/>
  <c r="K29" i="16"/>
  <c r="J29" i="16"/>
  <c r="I29" i="16"/>
  <c r="H29" i="16"/>
  <c r="G29" i="16"/>
  <c r="F29" i="16"/>
  <c r="F33" i="16" s="1"/>
  <c r="E29" i="16"/>
  <c r="P28" i="16"/>
  <c r="P27" i="16"/>
  <c r="P26" i="16"/>
  <c r="E25" i="16"/>
  <c r="D25" i="16"/>
  <c r="D29" i="16" s="1"/>
  <c r="C25" i="16"/>
  <c r="P25" i="16" s="1"/>
  <c r="P24" i="16"/>
  <c r="N21" i="16"/>
  <c r="N33" i="16" s="1"/>
  <c r="M21" i="16"/>
  <c r="M33" i="16" s="1"/>
  <c r="L21" i="16"/>
  <c r="K21" i="16"/>
  <c r="K33" i="16" s="1"/>
  <c r="J21" i="16"/>
  <c r="I21" i="16"/>
  <c r="I33" i="16" s="1"/>
  <c r="H21" i="16"/>
  <c r="H33" i="16" s="1"/>
  <c r="G21" i="16"/>
  <c r="F21" i="16"/>
  <c r="P20" i="16"/>
  <c r="E19" i="16"/>
  <c r="E21" i="16" s="1"/>
  <c r="E33" i="16" s="1"/>
  <c r="D19" i="16"/>
  <c r="D21" i="16" s="1"/>
  <c r="C21" i="16"/>
  <c r="P16" i="16"/>
  <c r="P15" i="16"/>
  <c r="P14" i="16"/>
  <c r="P13" i="16"/>
  <c r="P12" i="16"/>
  <c r="P11" i="16"/>
  <c r="N8" i="16"/>
  <c r="M8" i="16"/>
  <c r="L8" i="16"/>
  <c r="K8" i="16"/>
  <c r="J8" i="16"/>
  <c r="I8" i="16"/>
  <c r="H8" i="16"/>
  <c r="G8" i="16"/>
  <c r="F8" i="16"/>
  <c r="E8" i="16"/>
  <c r="D8" i="16"/>
  <c r="C8" i="16"/>
  <c r="P7" i="16"/>
  <c r="P6" i="16"/>
  <c r="P36" i="15"/>
  <c r="P35" i="15"/>
  <c r="P38" i="15" s="1"/>
  <c r="P39" i="15" s="1"/>
  <c r="P31" i="15"/>
  <c r="M29" i="15"/>
  <c r="P28" i="15"/>
  <c r="P27" i="15"/>
  <c r="P26" i="15"/>
  <c r="N25" i="15"/>
  <c r="N29" i="15" s="1"/>
  <c r="M25" i="15"/>
  <c r="L25" i="15"/>
  <c r="L29" i="15" s="1"/>
  <c r="L33" i="15" s="1"/>
  <c r="K25" i="15"/>
  <c r="K29" i="15" s="1"/>
  <c r="J25" i="15"/>
  <c r="J29" i="15" s="1"/>
  <c r="I25" i="15"/>
  <c r="I29" i="15" s="1"/>
  <c r="H25" i="15"/>
  <c r="H29" i="15" s="1"/>
  <c r="G25" i="15"/>
  <c r="G29" i="15" s="1"/>
  <c r="F25" i="15"/>
  <c r="F29" i="15" s="1"/>
  <c r="E25" i="15"/>
  <c r="E29" i="15" s="1"/>
  <c r="D25" i="15"/>
  <c r="D29" i="15" s="1"/>
  <c r="D33" i="15" s="1"/>
  <c r="C25" i="15"/>
  <c r="P24" i="15"/>
  <c r="L21" i="15"/>
  <c r="D21" i="15"/>
  <c r="P20" i="15"/>
  <c r="N19" i="15"/>
  <c r="N21" i="15" s="1"/>
  <c r="N33" i="15" s="1"/>
  <c r="M19" i="15"/>
  <c r="M21" i="15" s="1"/>
  <c r="L19" i="15"/>
  <c r="K19" i="15"/>
  <c r="K21" i="15" s="1"/>
  <c r="J19" i="15"/>
  <c r="J21" i="15" s="1"/>
  <c r="I19" i="15"/>
  <c r="I21" i="15" s="1"/>
  <c r="H19" i="15"/>
  <c r="H21" i="15" s="1"/>
  <c r="H33" i="15" s="1"/>
  <c r="G19" i="15"/>
  <c r="G21" i="15" s="1"/>
  <c r="G33" i="15" s="1"/>
  <c r="F19" i="15"/>
  <c r="F21" i="15" s="1"/>
  <c r="F33" i="15" s="1"/>
  <c r="E19" i="15"/>
  <c r="E21" i="15" s="1"/>
  <c r="D19" i="15"/>
  <c r="C19" i="15"/>
  <c r="C21" i="15" s="1"/>
  <c r="P16" i="15"/>
  <c r="P15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1" i="14"/>
  <c r="P30" i="14"/>
  <c r="J26" i="14"/>
  <c r="I26" i="14"/>
  <c r="H26" i="14"/>
  <c r="G26" i="14"/>
  <c r="F26" i="14"/>
  <c r="E26" i="14"/>
  <c r="D26" i="14"/>
  <c r="C26" i="14"/>
  <c r="P25" i="14"/>
  <c r="P24" i="14"/>
  <c r="N23" i="14"/>
  <c r="N26" i="14" s="1"/>
  <c r="M23" i="14"/>
  <c r="M26" i="14" s="1"/>
  <c r="L23" i="14"/>
  <c r="L26" i="14" s="1"/>
  <c r="K23" i="14"/>
  <c r="K26" i="14" s="1"/>
  <c r="J23" i="14"/>
  <c r="P22" i="14"/>
  <c r="I19" i="14"/>
  <c r="I28" i="14" s="1"/>
  <c r="H19" i="14"/>
  <c r="H28" i="14" s="1"/>
  <c r="G19" i="14"/>
  <c r="F19" i="14"/>
  <c r="F28" i="14" s="1"/>
  <c r="E19" i="14"/>
  <c r="E28" i="14" s="1"/>
  <c r="D19" i="14"/>
  <c r="D28" i="14" s="1"/>
  <c r="C19" i="14"/>
  <c r="P18" i="14"/>
  <c r="N17" i="14"/>
  <c r="N19" i="14" s="1"/>
  <c r="N28" i="14" s="1"/>
  <c r="M17" i="14"/>
  <c r="M19" i="14" s="1"/>
  <c r="L17" i="14"/>
  <c r="L19" i="14" s="1"/>
  <c r="L28" i="14" s="1"/>
  <c r="K17" i="14"/>
  <c r="K19" i="14" s="1"/>
  <c r="J17" i="14"/>
  <c r="J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C4" i="13" l="1"/>
  <c r="C5" i="13" s="1"/>
  <c r="P19" i="14"/>
  <c r="P25" i="15"/>
  <c r="K33" i="15"/>
  <c r="D33" i="16"/>
  <c r="J33" i="16"/>
  <c r="P8" i="15"/>
  <c r="P8" i="14"/>
  <c r="J28" i="14"/>
  <c r="K28" i="14"/>
  <c r="G28" i="14"/>
  <c r="C29" i="16"/>
  <c r="I33" i="15"/>
  <c r="M33" i="15"/>
  <c r="L33" i="16"/>
  <c r="P29" i="16"/>
  <c r="P8" i="16"/>
  <c r="P21" i="16"/>
  <c r="M28" i="14"/>
  <c r="J33" i="15"/>
  <c r="P26" i="14"/>
  <c r="E33" i="15"/>
  <c r="P21" i="15"/>
  <c r="P19" i="16"/>
  <c r="P23" i="14"/>
  <c r="C28" i="14"/>
  <c r="P19" i="15"/>
  <c r="C29" i="15"/>
  <c r="P17" i="14"/>
  <c r="C33" i="16"/>
  <c r="P33" i="16" s="1"/>
  <c r="P29" i="15" l="1"/>
  <c r="C33" i="15"/>
  <c r="P33" i="15" s="1"/>
  <c r="P28" i="14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J20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le Salaire</t>
        </r>
      </text>
    </comment>
    <comment ref="C28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<sst xmlns="http://schemas.openxmlformats.org/spreadsheetml/2006/main" count="129" uniqueCount="50">
  <si>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</si>
  <si>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</si>
  <si>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</si>
  <si>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</si>
  <si>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</si>
  <si>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</si>
  <si>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</si>
  <si>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</si>
  <si>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</si>
  <si>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</si>
  <si>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</si>
  <si>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</si>
  <si>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</si>
  <si>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</si>
  <si>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</si>
  <si>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</si>
  <si>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</si>
  <si>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</si>
  <si>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</si>
  <si>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</si>
  <si>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</si>
  <si>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</si>
  <si>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</si>
  <si>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</si>
  <si>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</si>
  <si>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</si>
  <si>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</si>
  <si>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</si>
  <si>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</si>
  <si>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</si>
  <si>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</si>
  <si>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</si>
  <si>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</si>
  <si>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</si>
  <si>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</si>
  <si>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</si>
  <si>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</si>
  <si>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</si>
  <si>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</si>
  <si>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</si>
  <si>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</si>
  <si>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</si>
  <si>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</si>
  <si>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</si>
  <si>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</si>
  <si>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</si>
  <si>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</si>
  <si>
    <t>Frais KM annuel à payer</t>
  </si>
  <si>
    <t>Régularisation Frais KM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</si>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</sst>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0" fillId="12" borderId="1" xfId="0" applyFill="1" applyBorder="1" applyProtection="1">
      <protection locked="0"/>
    </xf>
    <xf numFmtId="0" fontId="0" fillId="12" borderId="1" xfId="0" applyFill="1" applyBorder="1"/>
    <xf numFmtId="0" fontId="1" fillId="12" borderId="1" xfId="0" applyFont="1" applyFill="1" applyBorder="1" applyAlignment="1">
      <alignment horizontal="center"/>
    </xf>
    <xf numFmtId="0" fontId="1" fillId="0" borderId="6" xfId="0" applyFont="1" applyBorder="1"/>
    <xf numFmtId="4" fontId="1" fillId="0" borderId="1" xfId="0" applyNumberFormat="1" applyFont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4"/>
  <sheetViews>
    <sheetView topLeftCell="A15" workbookViewId="0">
      <selection activeCell="J12" sqref="J12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>
        <v>19</v>
      </c>
      <c r="K6" s="37">
        <v>19</v>
      </c>
      <c r="L6" s="37">
        <v>19</v>
      </c>
      <c r="M6" s="37">
        <v>19</v>
      </c>
      <c r="N6" s="37">
        <v>11</v>
      </c>
      <c r="O6" s="36"/>
      <c r="P6" s="57">
        <f>SUM(C6:N6)</f>
        <v>87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>
        <v>16</v>
      </c>
      <c r="K7" s="37">
        <v>8</v>
      </c>
      <c r="L7" s="37">
        <v>22</v>
      </c>
      <c r="M7" s="37">
        <v>21</v>
      </c>
      <c r="N7" s="37">
        <v>20</v>
      </c>
      <c r="O7" s="36"/>
      <c r="P7" s="57">
        <f>SUM(C7:N7)</f>
        <v>87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-3</v>
      </c>
      <c r="K8" s="63">
        <f t="shared" si="0"/>
        <v>-11</v>
      </c>
      <c r="L8" s="63">
        <f t="shared" si="0"/>
        <v>3</v>
      </c>
      <c r="M8" s="63">
        <f t="shared" si="0"/>
        <v>2</v>
      </c>
      <c r="N8" s="63">
        <f t="shared" si="0"/>
        <v>9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>
        <v>16.5</v>
      </c>
      <c r="K11" s="11">
        <v>8</v>
      </c>
      <c r="L11" s="11">
        <v>22</v>
      </c>
      <c r="M11" s="11">
        <v>21</v>
      </c>
      <c r="N11" s="11">
        <v>20</v>
      </c>
      <c r="P11" s="58">
        <f>SUM(C11:N11)</f>
        <v>87.5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5.5</v>
      </c>
      <c r="K12" s="12">
        <v>13</v>
      </c>
      <c r="L12" s="12"/>
      <c r="M12" s="12"/>
      <c r="N12" s="12"/>
      <c r="P12" s="58">
        <f>SUM(C12:N12)</f>
        <v>18.5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>
        <v>1</v>
      </c>
      <c r="N14" s="23"/>
      <c r="P14" s="58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>
        <f>J11*Params!$C$5*(1-Params!$C$3)-Params!$C$4</f>
        <v>7515</v>
      </c>
      <c r="K17" s="10">
        <f>K11*Params!$C$5*(1-Params!$C$3)-Params!$C$4</f>
        <v>3605</v>
      </c>
      <c r="L17" s="10">
        <f>L11*Params!$C$5*(1-Params!$C$3)-Params!$C$4</f>
        <v>10045</v>
      </c>
      <c r="M17" s="10">
        <f>M11*Params!$C$5*(1-Params!$C$3)-Params!$C$4</f>
        <v>9585</v>
      </c>
      <c r="N17" s="10">
        <f>N11*Params!$C$5*(1-Params!$C$3)-Params!$C$4</f>
        <v>9125</v>
      </c>
      <c r="O17" s="4"/>
      <c r="P17" s="41">
        <f>SUM(C17:N17)</f>
        <v>39875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>
        <v>750</v>
      </c>
      <c r="N18" s="10"/>
      <c r="O18" s="4"/>
      <c r="P18" s="41">
        <f>SUM(C18:N18)</f>
        <v>750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7515</v>
      </c>
      <c r="K19" s="28">
        <f t="shared" si="1"/>
        <v>3605</v>
      </c>
      <c r="L19" s="28">
        <f t="shared" si="1"/>
        <v>10045</v>
      </c>
      <c r="M19" s="28">
        <f t="shared" si="1"/>
        <v>10335</v>
      </c>
      <c r="N19" s="28">
        <f t="shared" si="1"/>
        <v>9125</v>
      </c>
      <c r="O19" s="5"/>
      <c r="P19" s="42">
        <f>SUM(C19:N19)</f>
        <v>40625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>
        <v>5285.8</v>
      </c>
      <c r="K22" s="10">
        <v>5285.8</v>
      </c>
      <c r="L22" s="10">
        <v>5285.8</v>
      </c>
      <c r="M22" s="10">
        <v>5285.8</v>
      </c>
      <c r="N22" s="10">
        <v>5200.67</v>
      </c>
      <c r="O22" s="4"/>
      <c r="P22" s="43">
        <f>SUM(C22:N22)</f>
        <v>26343.870000000003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>
        <f>1092.2+1850.91</f>
        <v>2943.11</v>
      </c>
      <c r="K23" s="10">
        <f>1092.2+1865.37</f>
        <v>2957.5699999999997</v>
      </c>
      <c r="L23" s="10">
        <f>1092.2+1885.11</f>
        <v>2977.31</v>
      </c>
      <c r="M23" s="10">
        <f>1092.2+1850.91</f>
        <v>2943.11</v>
      </c>
      <c r="N23" s="10">
        <f>1082.29+1823.32</f>
        <v>2905.6099999999997</v>
      </c>
      <c r="O23" s="4"/>
      <c r="P23" s="43">
        <f>SUM(C23:N23)</f>
        <v>14726.71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>
        <v>403.45</v>
      </c>
      <c r="K24" s="10">
        <v>242.8</v>
      </c>
      <c r="L24" s="10">
        <v>492.7</v>
      </c>
      <c r="M24" s="10">
        <v>474.85</v>
      </c>
      <c r="N24" s="10">
        <v>474.85</v>
      </c>
      <c r="O24" s="4"/>
      <c r="P24" s="43">
        <f>SUM(C24:N24)</f>
        <v>2088.65</v>
      </c>
    </row>
    <row r="25" spans="2:16" x14ac:dyDescent="0.3">
      <c r="B25" s="55" t="s">
        <v>41</v>
      </c>
      <c r="C25" s="64"/>
      <c r="D25" s="64"/>
      <c r="E25" s="64"/>
      <c r="F25" s="64"/>
      <c r="G25" s="64"/>
      <c r="H25" s="64"/>
      <c r="I25" s="64"/>
      <c r="J25" s="64">
        <v>749.17</v>
      </c>
      <c r="K25" s="64"/>
      <c r="L25" s="64"/>
      <c r="M25" s="64"/>
      <c r="N25" s="64"/>
      <c r="O25" s="4"/>
      <c r="P25" s="43">
        <f>SUM(C25:N25)</f>
        <v>749.17</v>
      </c>
    </row>
    <row r="26" spans="2:16" x14ac:dyDescent="0.3">
      <c r="B26" s="8" t="s">
        <v>3</v>
      </c>
      <c r="C26" s="44">
        <f t="shared" ref="C26:N26" si="2">SUM(C22:C25)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9381.5300000000007</v>
      </c>
      <c r="K26" s="44">
        <f t="shared" si="2"/>
        <v>8486.1699999999983</v>
      </c>
      <c r="L26" s="44">
        <f t="shared" si="2"/>
        <v>8755.8100000000013</v>
      </c>
      <c r="M26" s="44">
        <f t="shared" si="2"/>
        <v>8703.76</v>
      </c>
      <c r="N26" s="44">
        <f t="shared" si="2"/>
        <v>8581.1299999999992</v>
      </c>
      <c r="O26" s="4"/>
      <c r="P26" s="60">
        <f>SUM(C26:N26)</f>
        <v>43908.399999999994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-1866.5300000000007</v>
      </c>
      <c r="K28" s="47">
        <f t="shared" si="3"/>
        <v>-4881.1699999999983</v>
      </c>
      <c r="L28" s="47">
        <f t="shared" si="3"/>
        <v>1289.1899999999987</v>
      </c>
      <c r="M28" s="47">
        <f t="shared" si="3"/>
        <v>1631.2399999999998</v>
      </c>
      <c r="N28" s="47">
        <f t="shared" si="3"/>
        <v>543.8700000000008</v>
      </c>
      <c r="P28" s="59">
        <f>SUM(C28:N28)</f>
        <v>-3283.3999999999996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>
        <v>850</v>
      </c>
      <c r="K30" s="54">
        <v>400</v>
      </c>
      <c r="L30" s="54">
        <v>1100</v>
      </c>
      <c r="M30" s="54">
        <v>1050</v>
      </c>
      <c r="N30" s="54">
        <v>1000</v>
      </c>
      <c r="P30" s="61">
        <f>SUM(C30:N30)</f>
        <v>4400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>
        <v>403.45</v>
      </c>
      <c r="K31" s="54">
        <v>242.8</v>
      </c>
      <c r="L31" s="54">
        <v>492.7</v>
      </c>
      <c r="M31" s="54">
        <v>474.85</v>
      </c>
      <c r="N31" s="54">
        <v>474.85</v>
      </c>
      <c r="P31" s="61">
        <f>SUM(C31:N31)</f>
        <v>2088.65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A22" workbookViewId="0">
      <selection activeCell="G13" sqref="G13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14</v>
      </c>
      <c r="N6" s="37">
        <v>13</v>
      </c>
      <c r="O6" s="36"/>
      <c r="P6" s="57">
        <f>SUM(C6:N6)</f>
        <v>217</v>
      </c>
    </row>
    <row r="7" spans="2:16" x14ac:dyDescent="0.3">
      <c r="B7" s="9" t="s">
        <v>21</v>
      </c>
      <c r="C7" s="37">
        <v>22</v>
      </c>
      <c r="D7" s="37">
        <v>21</v>
      </c>
      <c r="E7" s="37">
        <v>21</v>
      </c>
      <c r="F7" s="37">
        <v>21</v>
      </c>
      <c r="G7" s="37">
        <v>18</v>
      </c>
      <c r="H7" s="37">
        <v>20</v>
      </c>
      <c r="I7" s="37">
        <v>21</v>
      </c>
      <c r="J7" s="37">
        <v>20</v>
      </c>
      <c r="K7" s="37">
        <v>8</v>
      </c>
      <c r="L7" s="37">
        <v>18</v>
      </c>
      <c r="M7" s="37">
        <v>14</v>
      </c>
      <c r="N7" s="37">
        <v>13</v>
      </c>
      <c r="O7" s="36"/>
      <c r="P7" s="57">
        <f>SUM(C7:N7)</f>
        <v>217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2</v>
      </c>
      <c r="E8" s="63">
        <f t="shared" si="0"/>
        <v>2</v>
      </c>
      <c r="F8" s="63">
        <f t="shared" si="0"/>
        <v>2</v>
      </c>
      <c r="G8" s="63">
        <f t="shared" si="0"/>
        <v>-1</v>
      </c>
      <c r="H8" s="63">
        <f t="shared" si="0"/>
        <v>1</v>
      </c>
      <c r="I8" s="63">
        <f t="shared" si="0"/>
        <v>2</v>
      </c>
      <c r="J8" s="63">
        <f t="shared" si="0"/>
        <v>1</v>
      </c>
      <c r="K8" s="63">
        <f t="shared" si="0"/>
        <v>-11</v>
      </c>
      <c r="L8" s="63">
        <f t="shared" si="0"/>
        <v>-1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21</v>
      </c>
      <c r="E11" s="11">
        <v>21</v>
      </c>
      <c r="F11" s="11">
        <v>21</v>
      </c>
      <c r="G11" s="11">
        <v>17.5</v>
      </c>
      <c r="H11" s="11">
        <v>19.5</v>
      </c>
      <c r="I11" s="11">
        <v>21</v>
      </c>
      <c r="J11" s="11">
        <v>20</v>
      </c>
      <c r="K11" s="11">
        <v>8</v>
      </c>
      <c r="L11" s="11">
        <v>18</v>
      </c>
      <c r="M11" s="11">
        <v>14</v>
      </c>
      <c r="N11" s="11">
        <v>13</v>
      </c>
      <c r="P11" s="58">
        <f t="shared" ref="P11:P16" si="1">SUM(C11:N11)</f>
        <v>216</v>
      </c>
    </row>
    <row r="12" spans="2:16" x14ac:dyDescent="0.3">
      <c r="B12" s="9" t="s">
        <v>16</v>
      </c>
      <c r="C12" s="12"/>
      <c r="D12" s="12"/>
      <c r="E12" s="12"/>
      <c r="F12" s="12"/>
      <c r="G12" s="12">
        <v>2</v>
      </c>
      <c r="H12" s="12">
        <v>0.5</v>
      </c>
      <c r="I12" s="12">
        <v>2</v>
      </c>
      <c r="J12" s="12">
        <v>1</v>
      </c>
      <c r="K12" s="12">
        <v>2</v>
      </c>
      <c r="L12" s="12">
        <v>5</v>
      </c>
      <c r="M12" s="12">
        <v>0</v>
      </c>
      <c r="N12" s="12">
        <v>5</v>
      </c>
      <c r="P12" s="58">
        <f t="shared" si="1"/>
        <v>17.5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>
        <v>3</v>
      </c>
      <c r="L13" s="12"/>
      <c r="M13" s="12"/>
      <c r="N13" s="12"/>
      <c r="P13" s="58">
        <f t="shared" si="1"/>
        <v>3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>
        <v>9</v>
      </c>
      <c r="L14" s="12"/>
      <c r="M14" s="12">
        <v>5</v>
      </c>
      <c r="N14" s="12">
        <v>3</v>
      </c>
      <c r="P14" s="58">
        <f t="shared" si="1"/>
        <v>17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>
        <v>1</v>
      </c>
      <c r="G16" s="23"/>
      <c r="H16" s="23"/>
      <c r="I16" s="23"/>
      <c r="J16" s="23"/>
      <c r="K16" s="23"/>
      <c r="L16" s="23"/>
      <c r="M16" s="23"/>
      <c r="N16" s="23"/>
      <c r="P16" s="58">
        <f t="shared" si="1"/>
        <v>1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C11*Params!$C$5*(1-Params!$C$3)-Params!$C$4</f>
        <v>10045</v>
      </c>
      <c r="D19" s="10">
        <f>D11*Params!$C$5*(1-Params!$C$3)-Params!$C$4</f>
        <v>9585</v>
      </c>
      <c r="E19" s="10">
        <f>E11*Params!$C$5*(1-Params!$C$3)-Params!$C$4</f>
        <v>9585</v>
      </c>
      <c r="F19" s="10">
        <f>F11*Params!$C$5*(1-Params!$C$3)-Params!$C$4</f>
        <v>9585</v>
      </c>
      <c r="G19" s="10">
        <f>G11*Params!$C$5*(1-Params!$C$3)-Params!$C$4</f>
        <v>7975</v>
      </c>
      <c r="H19" s="10">
        <f>H11*Params!$C$5*(1-Params!$C$3)-Params!$C$4</f>
        <v>8895</v>
      </c>
      <c r="I19" s="10">
        <f>I11*Params!$C$5*(1-Params!$C$3)-Params!$C$4</f>
        <v>9585</v>
      </c>
      <c r="J19" s="10">
        <f>J11*Params!$C$5*(1-Params!$C$3)-Params!$C$4</f>
        <v>9125</v>
      </c>
      <c r="K19" s="10">
        <f>K11*Params!$C$5*(1-Params!$C$3)-Params!$C$4</f>
        <v>3605</v>
      </c>
      <c r="L19" s="10">
        <f>L11*Params!$C$5*(1-Params!$C$3)-Params!$C$4</f>
        <v>8205</v>
      </c>
      <c r="M19" s="10">
        <f>M11*Params!$C$5*(1-Params!$C$3)-Params!$C$4</f>
        <v>6365</v>
      </c>
      <c r="N19" s="10">
        <f>N11*Params!$C$5*(1-Params!$C$3)-Params!$C$4</f>
        <v>5905</v>
      </c>
      <c r="O19" s="4"/>
      <c r="P19" s="41">
        <f>SUM(C19:N19)</f>
        <v>98460</v>
      </c>
    </row>
    <row r="20" spans="2:16" x14ac:dyDescent="0.3">
      <c r="B20" s="9" t="s">
        <v>15</v>
      </c>
      <c r="C20" s="10"/>
      <c r="D20" s="10"/>
      <c r="E20" s="10"/>
      <c r="F20" s="10">
        <v>750</v>
      </c>
      <c r="G20" s="10"/>
      <c r="H20" s="10"/>
      <c r="I20" s="10"/>
      <c r="J20" s="10">
        <v>750</v>
      </c>
      <c r="K20" s="10"/>
      <c r="L20" s="10"/>
      <c r="M20" s="10"/>
      <c r="N20" s="10"/>
      <c r="O20" s="4"/>
      <c r="P20" s="41">
        <f>SUM(C20:N20)</f>
        <v>1500</v>
      </c>
    </row>
    <row r="21" spans="2:16" x14ac:dyDescent="0.3">
      <c r="B21" s="27" t="s">
        <v>2</v>
      </c>
      <c r="C21" s="28">
        <f t="shared" ref="C21:N21" si="2">SUM(C19:C20)</f>
        <v>10045</v>
      </c>
      <c r="D21" s="28">
        <f t="shared" si="2"/>
        <v>9585</v>
      </c>
      <c r="E21" s="28">
        <f t="shared" si="2"/>
        <v>9585</v>
      </c>
      <c r="F21" s="28">
        <f t="shared" si="2"/>
        <v>10335</v>
      </c>
      <c r="G21" s="28">
        <f t="shared" si="2"/>
        <v>7975</v>
      </c>
      <c r="H21" s="28">
        <f t="shared" si="2"/>
        <v>8895</v>
      </c>
      <c r="I21" s="28">
        <f t="shared" si="2"/>
        <v>9585</v>
      </c>
      <c r="J21" s="28">
        <f t="shared" si="2"/>
        <v>9875</v>
      </c>
      <c r="K21" s="28">
        <f t="shared" si="2"/>
        <v>3605</v>
      </c>
      <c r="L21" s="28">
        <f t="shared" si="2"/>
        <v>8205</v>
      </c>
      <c r="M21" s="28">
        <f t="shared" si="2"/>
        <v>6365</v>
      </c>
      <c r="N21" s="28">
        <f t="shared" si="2"/>
        <v>5905</v>
      </c>
      <c r="O21" s="5"/>
      <c r="P21" s="42">
        <f>SUM(C21:N21)</f>
        <v>99960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4901.79</v>
      </c>
      <c r="D24" s="10">
        <v>4901.79</v>
      </c>
      <c r="E24" s="10">
        <v>5276.79</v>
      </c>
      <c r="F24" s="10">
        <v>5276.79</v>
      </c>
      <c r="G24" s="10">
        <v>5276.79</v>
      </c>
      <c r="H24" s="10">
        <v>5276.79</v>
      </c>
      <c r="I24" s="10">
        <v>5432.13</v>
      </c>
      <c r="J24" s="10">
        <v>5276.79</v>
      </c>
      <c r="K24" s="10">
        <v>3144.83</v>
      </c>
      <c r="L24" s="10">
        <v>5751.86</v>
      </c>
      <c r="M24" s="10">
        <v>4036.83</v>
      </c>
      <c r="N24" s="10">
        <v>4502.54</v>
      </c>
      <c r="O24" s="4"/>
      <c r="P24" s="43">
        <f t="shared" ref="P24:P29" si="3">SUM(C24:N24)</f>
        <v>59055.720000000008</v>
      </c>
    </row>
    <row r="25" spans="2:16" x14ac:dyDescent="0.3">
      <c r="B25" s="9" t="s">
        <v>8</v>
      </c>
      <c r="C25" s="10">
        <f>1105.77+1867.57</f>
        <v>2973.34</v>
      </c>
      <c r="D25" s="10">
        <f>1105.77+1867.57</f>
        <v>2973.34</v>
      </c>
      <c r="E25" s="10">
        <f>1105.77+1867.57</f>
        <v>2973.34</v>
      </c>
      <c r="F25" s="10">
        <f>1105.77+1867.57</f>
        <v>2973.34</v>
      </c>
      <c r="G25" s="10">
        <f>1105.77+1891.51</f>
        <v>2997.2799999999997</v>
      </c>
      <c r="H25" s="10">
        <f>1105.77+1896.76</f>
        <v>3002.5299999999997</v>
      </c>
      <c r="I25" s="10">
        <f>1140.67+1951.67</f>
        <v>3092.34</v>
      </c>
      <c r="J25" s="10">
        <f>1105.77+1899.42</f>
        <v>3005.19</v>
      </c>
      <c r="K25" s="10">
        <f>679.88+1158.51</f>
        <v>1838.3899999999999</v>
      </c>
      <c r="L25" s="10">
        <f>1212.7+2071.29</f>
        <v>3283.99</v>
      </c>
      <c r="M25" s="10">
        <f>864.1+1479.92</f>
        <v>2344.02</v>
      </c>
      <c r="N25" s="10">
        <f>954.68+1625.87</f>
        <v>2580.5499999999997</v>
      </c>
      <c r="O25" s="4"/>
      <c r="P25" s="43">
        <f t="shared" si="3"/>
        <v>34037.649999999994</v>
      </c>
    </row>
    <row r="26" spans="2:16" x14ac:dyDescent="0.3">
      <c r="B26" s="55" t="s">
        <v>40</v>
      </c>
      <c r="C26" s="10">
        <v>475.2</v>
      </c>
      <c r="D26" s="10">
        <v>474.85</v>
      </c>
      <c r="E26" s="10">
        <v>474.85</v>
      </c>
      <c r="F26" s="10">
        <v>492.7</v>
      </c>
      <c r="G26" s="10">
        <v>421.3</v>
      </c>
      <c r="H26" s="10">
        <v>457</v>
      </c>
      <c r="I26" s="10">
        <v>492.7</v>
      </c>
      <c r="J26" s="10">
        <v>439.15</v>
      </c>
      <c r="K26" s="10">
        <v>242.8</v>
      </c>
      <c r="L26" s="10">
        <v>421.3</v>
      </c>
      <c r="M26" s="10">
        <v>349.9</v>
      </c>
      <c r="N26" s="10">
        <v>544.54999999999995</v>
      </c>
      <c r="O26" s="4"/>
      <c r="P26" s="43">
        <f t="shared" si="3"/>
        <v>5286.3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>
        <v>1424.17</v>
      </c>
      <c r="K27" s="64"/>
      <c r="L27" s="64"/>
      <c r="M27" s="64"/>
      <c r="N27" s="64"/>
      <c r="O27" s="4"/>
      <c r="P27" s="43">
        <f t="shared" si="3"/>
        <v>1424.17</v>
      </c>
    </row>
    <row r="28" spans="2:16" x14ac:dyDescent="0.3">
      <c r="B28" s="55" t="s">
        <v>43</v>
      </c>
      <c r="C28" s="10">
        <v>750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750</v>
      </c>
    </row>
    <row r="29" spans="2:16" x14ac:dyDescent="0.3">
      <c r="B29" s="8" t="s">
        <v>3</v>
      </c>
      <c r="C29" s="44">
        <f>SUM(C24:C28)</f>
        <v>9100.33</v>
      </c>
      <c r="D29" s="44">
        <f t="shared" ref="D29:N29" si="4">SUM(D24:D27)</f>
        <v>8349.98</v>
      </c>
      <c r="E29" s="44">
        <f t="shared" si="4"/>
        <v>8724.9800000000014</v>
      </c>
      <c r="F29" s="44">
        <f t="shared" si="4"/>
        <v>8742.8300000000017</v>
      </c>
      <c r="G29" s="44">
        <f t="shared" si="4"/>
        <v>8695.369999999999</v>
      </c>
      <c r="H29" s="44">
        <f t="shared" si="4"/>
        <v>8736.32</v>
      </c>
      <c r="I29" s="44">
        <f t="shared" si="4"/>
        <v>9017.1700000000019</v>
      </c>
      <c r="J29" s="44">
        <f t="shared" si="4"/>
        <v>10145.299999999999</v>
      </c>
      <c r="K29" s="44">
        <f t="shared" si="4"/>
        <v>5226.0199999999995</v>
      </c>
      <c r="L29" s="44">
        <f t="shared" si="4"/>
        <v>9457.1499999999978</v>
      </c>
      <c r="M29" s="44">
        <f t="shared" si="4"/>
        <v>6730.75</v>
      </c>
      <c r="N29" s="44">
        <f t="shared" si="4"/>
        <v>7627.64</v>
      </c>
      <c r="O29" s="4"/>
      <c r="P29" s="60">
        <f t="shared" si="3"/>
        <v>100553.84000000001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>
        <v>375</v>
      </c>
      <c r="D31" s="66">
        <v>375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750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944.67000000000007</v>
      </c>
      <c r="D33" s="47">
        <f t="shared" si="5"/>
        <v>1235.0200000000004</v>
      </c>
      <c r="E33" s="47">
        <f t="shared" si="5"/>
        <v>860.01999999999862</v>
      </c>
      <c r="F33" s="47">
        <f t="shared" si="5"/>
        <v>1592.1699999999983</v>
      </c>
      <c r="G33" s="47">
        <f t="shared" si="5"/>
        <v>-720.36999999999898</v>
      </c>
      <c r="H33" s="47">
        <f t="shared" si="5"/>
        <v>158.68000000000029</v>
      </c>
      <c r="I33" s="47">
        <f t="shared" si="5"/>
        <v>567.82999999999811</v>
      </c>
      <c r="J33" s="47">
        <f t="shared" si="5"/>
        <v>-270.29999999999927</v>
      </c>
      <c r="K33" s="47">
        <f t="shared" si="5"/>
        <v>-1621.0199999999995</v>
      </c>
      <c r="L33" s="47">
        <f t="shared" si="5"/>
        <v>-1252.1499999999978</v>
      </c>
      <c r="M33" s="47">
        <f t="shared" si="5"/>
        <v>-365.75</v>
      </c>
      <c r="N33" s="47">
        <f t="shared" si="5"/>
        <v>-1722.6400000000003</v>
      </c>
      <c r="P33" s="59">
        <f>SUM(C33:N33)</f>
        <v>-593.84000000000015</v>
      </c>
    </row>
    <row r="35" spans="2:16" x14ac:dyDescent="0.3">
      <c r="B35" s="62" t="s">
        <v>37</v>
      </c>
      <c r="C35" s="54">
        <v>1100</v>
      </c>
      <c r="D35" s="54">
        <v>1050</v>
      </c>
      <c r="E35" s="54">
        <v>1050</v>
      </c>
      <c r="F35" s="54">
        <v>1100</v>
      </c>
      <c r="G35" s="54">
        <v>900</v>
      </c>
      <c r="H35" s="54">
        <v>1000</v>
      </c>
      <c r="I35" s="54">
        <v>1100</v>
      </c>
      <c r="J35" s="54">
        <v>950</v>
      </c>
      <c r="K35" s="54">
        <v>400</v>
      </c>
      <c r="L35" s="54">
        <v>900</v>
      </c>
      <c r="M35" s="54">
        <v>700</v>
      </c>
      <c r="N35" s="54">
        <v>650</v>
      </c>
      <c r="P35" s="61">
        <f>SUM(C35:N35)</f>
        <v>10900</v>
      </c>
    </row>
    <row r="36" spans="2:16" x14ac:dyDescent="0.3">
      <c r="B36" s="62" t="s">
        <v>38</v>
      </c>
      <c r="C36" s="54">
        <v>475.2</v>
      </c>
      <c r="D36" s="54">
        <v>474.85</v>
      </c>
      <c r="E36" s="54">
        <v>474.85</v>
      </c>
      <c r="F36" s="54">
        <v>492.7</v>
      </c>
      <c r="G36" s="54">
        <v>421.3</v>
      </c>
      <c r="H36" s="54">
        <v>457</v>
      </c>
      <c r="I36" s="54">
        <v>492.7</v>
      </c>
      <c r="J36" s="54">
        <v>439.15</v>
      </c>
      <c r="K36" s="54">
        <v>242.8</v>
      </c>
      <c r="L36" s="54">
        <v>421.3</v>
      </c>
      <c r="M36" s="54">
        <v>349.9</v>
      </c>
      <c r="N36" s="54">
        <v>544.54999999999995</v>
      </c>
      <c r="P36" s="61">
        <f>SUM(C36:N36)</f>
        <v>5286.3</v>
      </c>
    </row>
    <row r="38" spans="2:16" x14ac:dyDescent="0.3">
      <c r="N38" s="54" t="s">
        <v>47</v>
      </c>
      <c r="P38" s="61">
        <f>(P35*0.357)+1395</f>
        <v>5286.2999999999993</v>
      </c>
    </row>
    <row r="39" spans="2:16" x14ac:dyDescent="0.3">
      <c r="N39" s="54" t="s">
        <v>48</v>
      </c>
      <c r="P39" s="61">
        <f>P38-P36</f>
        <v>0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36"/>
  <sheetViews>
    <sheetView tabSelected="1" topLeftCell="A2" workbookViewId="0">
      <selection activeCell="C20" sqref="C20"/>
    </sheetView>
  </sheetViews>
  <sheetFormatPr baseColWidth="10" defaultRowHeight="14.4" x14ac:dyDescent="0.3"/>
  <cols>
    <col min="1" max="1" width="3" customWidth="1"/>
    <col min="2" max="2" width="28" customWidth="1"/>
    <col min="14" max="14" width="20" bestFit="1" customWidth="1"/>
    <col min="15" max="15" width="4" customWidth="1"/>
    <col min="16" max="16" width="11" style="48" customWidth="1"/>
  </cols>
  <sheetData>
    <row r="1" spans="2:16" x14ac:dyDescent="0.3">
      <c r="B1" s="73" t="s">
        <v>9</v>
      </c>
    </row>
    <row r="2" spans="2:16" x14ac:dyDescent="0.3">
      <c r="B2" s="7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76</v>
      </c>
    </row>
    <row r="7" spans="2:16" x14ac:dyDescent="0.3">
      <c r="B7" s="9" t="s">
        <v>21</v>
      </c>
      <c r="C7" s="37">
        <v>22</v>
      </c>
      <c r="D7" s="37">
        <v>20</v>
      </c>
      <c r="E7" s="37">
        <v>20</v>
      </c>
      <c r="F7" s="37">
        <v>20</v>
      </c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82</v>
      </c>
    </row>
    <row r="8" spans="2:16" x14ac:dyDescent="0.3">
      <c r="B8" s="18" t="s">
        <v>22</v>
      </c>
      <c r="C8" s="63">
        <f t="shared" ref="C8:N8" si="0">C7-C6</f>
        <v>3</v>
      </c>
      <c r="D8" s="63">
        <f t="shared" si="0"/>
        <v>1</v>
      </c>
      <c r="E8" s="63">
        <f t="shared" si="0"/>
        <v>1</v>
      </c>
      <c r="F8" s="63">
        <f t="shared" si="0"/>
        <v>1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6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22</v>
      </c>
      <c r="D11" s="11">
        <v>20</v>
      </c>
      <c r="E11" s="11">
        <v>20</v>
      </c>
      <c r="F11" s="11">
        <v>20</v>
      </c>
      <c r="G11" s="11"/>
      <c r="H11" s="11"/>
      <c r="I11" s="11"/>
      <c r="J11" s="11"/>
      <c r="K11" s="11"/>
      <c r="L11" s="11"/>
      <c r="M11" s="11"/>
      <c r="N11" s="11"/>
      <c r="P11" s="58">
        <f t="shared" ref="P11:P16" si="1">SUM(C11:N11)</f>
        <v>82</v>
      </c>
    </row>
    <row r="12" spans="2:16" x14ac:dyDescent="0.3">
      <c r="B12" s="9" t="s">
        <v>16</v>
      </c>
      <c r="C12" s="12"/>
      <c r="D12" s="12"/>
      <c r="E12" s="12">
        <v>1</v>
      </c>
      <c r="F12" s="12">
        <v>1</v>
      </c>
      <c r="G12" s="12"/>
      <c r="H12" s="12"/>
      <c r="I12" s="12"/>
      <c r="J12" s="12"/>
      <c r="K12" s="12"/>
      <c r="L12" s="12"/>
      <c r="M12" s="12"/>
      <c r="N12" s="12"/>
      <c r="P12" s="58">
        <f t="shared" si="1"/>
        <v>2</v>
      </c>
    </row>
    <row r="13" spans="2:16" x14ac:dyDescent="0.3">
      <c r="B13" s="9" t="s">
        <v>45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 t="shared" si="1"/>
        <v>0</v>
      </c>
    </row>
    <row r="14" spans="2:16" x14ac:dyDescent="0.3">
      <c r="B14" s="9" t="s">
        <v>46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P14" s="58">
        <f t="shared" si="1"/>
        <v>0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8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8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C11*Params!$C$5*(1-Params!$C$3)-Params!$C$4</f>
        <v>10045</v>
      </c>
      <c r="D19" s="10">
        <f>D11*Params!$C$5*(1-Params!$C$3)-Params!$C$4</f>
        <v>9125</v>
      </c>
      <c r="E19" s="10">
        <f>E11*Params!$C$5*(1-Params!$C$3)-Params!$C$4</f>
        <v>9125</v>
      </c>
      <c r="F19" s="10">
        <f>F11*Params!$C$5*(1-Params!$C$3)-Params!$C$4</f>
        <v>9125</v>
      </c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37420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N21" si="2">SUM(C19:C20)</f>
        <v>10045</v>
      </c>
      <c r="D21" s="28">
        <f t="shared" si="2"/>
        <v>9125</v>
      </c>
      <c r="E21" s="28">
        <f t="shared" si="2"/>
        <v>9125</v>
      </c>
      <c r="F21" s="28">
        <f t="shared" si="2"/>
        <v>9125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>
        <f t="shared" si="2"/>
        <v>0</v>
      </c>
      <c r="N21" s="28">
        <f t="shared" si="2"/>
        <v>0</v>
      </c>
      <c r="O21" s="5"/>
      <c r="P21" s="42">
        <f>SUM(C21:N21)</f>
        <v>37420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5275.46</v>
      </c>
      <c r="D24" s="10">
        <v>5275.46</v>
      </c>
      <c r="E24" s="10">
        <v>5275.46</v>
      </c>
      <c r="F24" s="10">
        <v>5275.46</v>
      </c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21101.84</v>
      </c>
    </row>
    <row r="25" spans="2:16" x14ac:dyDescent="0.3">
      <c r="B25" s="9" t="s">
        <v>8</v>
      </c>
      <c r="C25" s="10">
        <f>1111.66+1913.43</f>
        <v>3025.09</v>
      </c>
      <c r="D25" s="10">
        <f>1111.66+1900.29</f>
        <v>3011.95</v>
      </c>
      <c r="E25" s="10">
        <f>1111.66+1900.29</f>
        <v>3011.95</v>
      </c>
      <c r="F25" s="10">
        <f>1111.66+3180.35</f>
        <v>4292.01</v>
      </c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13341</v>
      </c>
    </row>
    <row r="26" spans="2:16" x14ac:dyDescent="0.3">
      <c r="B26" s="55" t="s">
        <v>40</v>
      </c>
      <c r="C26" s="10">
        <v>492.7</v>
      </c>
      <c r="D26" s="10">
        <v>457</v>
      </c>
      <c r="E26" s="10">
        <v>457</v>
      </c>
      <c r="F26" s="10">
        <v>457</v>
      </c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1863.7</v>
      </c>
    </row>
    <row r="27" spans="2:16" x14ac:dyDescent="0.3">
      <c r="B27" s="55" t="s">
        <v>41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4"/>
      <c r="P27" s="43">
        <f t="shared" si="3"/>
        <v>0</v>
      </c>
    </row>
    <row r="28" spans="2:16" x14ac:dyDescent="0.3">
      <c r="B28" s="55" t="s">
        <v>43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"/>
      <c r="P28" s="43">
        <f t="shared" si="3"/>
        <v>0</v>
      </c>
    </row>
    <row r="29" spans="2:16" x14ac:dyDescent="0.3">
      <c r="B29" s="8" t="s">
        <v>3</v>
      </c>
      <c r="C29" s="44">
        <f>SUM(C24:C28)</f>
        <v>8793.25</v>
      </c>
      <c r="D29" s="44">
        <f t="shared" ref="D29:N29" si="4">SUM(D24:D27)</f>
        <v>8744.41</v>
      </c>
      <c r="E29" s="44">
        <f t="shared" si="4"/>
        <v>8744.41</v>
      </c>
      <c r="F29" s="44">
        <f t="shared" si="4"/>
        <v>10024.470000000001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>
        <f t="shared" si="4"/>
        <v>0</v>
      </c>
      <c r="N29" s="44">
        <f t="shared" si="4"/>
        <v>0</v>
      </c>
      <c r="O29" s="4"/>
      <c r="P29" s="60">
        <f t="shared" si="3"/>
        <v>36306.54</v>
      </c>
    </row>
    <row r="30" spans="2:16" x14ac:dyDescent="0.3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4"/>
      <c r="P30" s="43"/>
    </row>
    <row r="31" spans="2:16" x14ac:dyDescent="0.3">
      <c r="B31" s="65" t="s">
        <v>44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P31" s="67">
        <f>SUM(C31:N31)</f>
        <v>0</v>
      </c>
    </row>
    <row r="32" spans="2:16" x14ac:dyDescent="0.3"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P32" s="72"/>
    </row>
    <row r="33" spans="2:16" x14ac:dyDescent="0.3">
      <c r="B33" s="46" t="s">
        <v>36</v>
      </c>
      <c r="C33" s="47">
        <f t="shared" ref="C33:N33" si="5">C21-C29</f>
        <v>1251.75</v>
      </c>
      <c r="D33" s="47">
        <f t="shared" si="5"/>
        <v>380.59000000000015</v>
      </c>
      <c r="E33" s="47">
        <f t="shared" si="5"/>
        <v>380.59000000000015</v>
      </c>
      <c r="F33" s="47">
        <f t="shared" si="5"/>
        <v>-899.47000000000116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59">
        <f>SUM(C33:N33)</f>
        <v>1113.4599999999991</v>
      </c>
    </row>
    <row r="35" spans="2:16" x14ac:dyDescent="0.3">
      <c r="B35" s="62" t="s">
        <v>37</v>
      </c>
      <c r="C35" s="54">
        <v>1100</v>
      </c>
      <c r="D35" s="54">
        <v>1000</v>
      </c>
      <c r="E35" s="54">
        <v>1000</v>
      </c>
      <c r="F35" s="54">
        <v>1000</v>
      </c>
      <c r="G35" s="54"/>
      <c r="H35" s="54"/>
      <c r="I35" s="54"/>
      <c r="J35" s="54"/>
      <c r="K35" s="54"/>
      <c r="L35" s="54"/>
      <c r="M35" s="54"/>
      <c r="N35" s="54"/>
      <c r="P35" s="61">
        <f>SUM(C35:N35)</f>
        <v>4100</v>
      </c>
    </row>
    <row r="36" spans="2:16" x14ac:dyDescent="0.3">
      <c r="B36" s="62" t="s">
        <v>38</v>
      </c>
      <c r="C36" s="54">
        <v>492.7</v>
      </c>
      <c r="D36" s="54">
        <v>457</v>
      </c>
      <c r="E36" s="54">
        <v>457</v>
      </c>
      <c r="F36" s="54">
        <v>457</v>
      </c>
      <c r="G36" s="54"/>
      <c r="H36" s="54"/>
      <c r="I36" s="54"/>
      <c r="J36" s="54"/>
      <c r="K36" s="54"/>
      <c r="L36" s="54"/>
      <c r="M36" s="54"/>
      <c r="N36" s="54"/>
      <c r="P36" s="61">
        <f>SUM(C36:N36)</f>
        <v>1863.7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5"/>
  <sheetViews>
    <sheetView workbookViewId="0">
      <selection activeCell="B8" sqref="B8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5" t="s">
        <v>23</v>
      </c>
      <c r="C2" s="7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42</v>
      </c>
      <c r="C5" s="33">
        <v>500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5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7" t="s">
        <v>33</v>
      </c>
      <c r="C2" s="77"/>
    </row>
    <row r="3" spans="2:3" ht="16.95" customHeight="1" x14ac:dyDescent="0.3">
      <c r="B3" s="38" t="s">
        <v>34</v>
      </c>
      <c r="C3" s="39">
        <f>'2023'!P28+'2024'!P33+'2025'!P33</f>
        <v>-2763.7800000000007</v>
      </c>
    </row>
    <row r="4" spans="2:3" ht="16.95" customHeight="1" x14ac:dyDescent="0.3">
      <c r="B4" s="38" t="s">
        <v>39</v>
      </c>
      <c r="C4" s="40">
        <f>'2023'!P12+'2024'!P12+'2025'!P12</f>
        <v>38</v>
      </c>
    </row>
    <row r="5" spans="2:3" x14ac:dyDescent="0.3">
      <c r="B5" t="s">
        <v>49</v>
      </c>
      <c r="C5">
        <f>(2.08*21)-C4</f>
        <v>5.68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2025-05-09T11:13:22Z</dcterms:modified>
</cp:coreProperties>
</file>