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4\Normal\"/>
    </mc:Choice>
  </mc:AlternateContent>
  <bookViews>
    <workbookView xWindow="0" yWindow="0" windowWidth="22520" windowHeight="5670" activeTab="4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'2023'!$B$31</definedName>
    <definedName name="FRAIS_KM" localSheetId="1">'2024'!$B$31</definedName>
    <definedName name="FRAIS_KM" localSheetId="2">'2025'!$B$31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'2023'!$B$30</definedName>
    <definedName name="NOMBRE_KM" localSheetId="1">'2024'!$B$30</definedName>
    <definedName name="NOMBRE_KM" localSheetId="2">'2025'!$B$30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'2023'!$B$28</definedName>
    <definedName name="SOLDE" localSheetId="1">'2024'!$B$28</definedName>
    <definedName name="SOLDE" localSheetId="2">'2025'!$B$28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'2025'!$B$24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'2023'!$B$26</definedName>
    <definedName name="TOTAL_SORTIES" localSheetId="1">'2024'!$B$26</definedName>
    <definedName name="TOTAL_SORTIES" localSheetId="2">'2025'!$B$26</definedName>
    <definedName name="TOTAL_SORTIES">#REF!</definedName>
  </definedNames>
  <calcPr calcId="162913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F23" i="16" l="1"/>
  <c r="F17" i="16"/>
  <c r="P31" i="16" l="1"/>
  <c r="P30" i="16"/>
  <c r="P33" i="16" s="1"/>
  <c r="G28" i="16"/>
  <c r="N26" i="16"/>
  <c r="N28" i="16" s="1"/>
  <c r="M26" i="16"/>
  <c r="L26" i="16"/>
  <c r="K26" i="16"/>
  <c r="J26" i="16"/>
  <c r="I26" i="16"/>
  <c r="H26" i="16"/>
  <c r="G26" i="16"/>
  <c r="F26" i="16"/>
  <c r="E26" i="16"/>
  <c r="D26" i="16"/>
  <c r="P25" i="16"/>
  <c r="P24" i="16"/>
  <c r="E23" i="16"/>
  <c r="D23" i="16"/>
  <c r="C23" i="16"/>
  <c r="C26" i="16" s="1"/>
  <c r="P22" i="16"/>
  <c r="N19" i="16"/>
  <c r="M19" i="16"/>
  <c r="M28" i="16" s="1"/>
  <c r="L19" i="16"/>
  <c r="L28" i="16" s="1"/>
  <c r="K19" i="16"/>
  <c r="K28" i="16" s="1"/>
  <c r="J19" i="16"/>
  <c r="J28" i="16" s="1"/>
  <c r="I19" i="16"/>
  <c r="I28" i="16" s="1"/>
  <c r="H19" i="16"/>
  <c r="H28" i="16" s="1"/>
  <c r="G19" i="16"/>
  <c r="F19" i="16"/>
  <c r="D19" i="16"/>
  <c r="D28" i="16" s="1"/>
  <c r="C19" i="16"/>
  <c r="P18" i="16"/>
  <c r="E17" i="16"/>
  <c r="E19" i="16" s="1"/>
  <c r="E28" i="16" s="1"/>
  <c r="D17" i="16"/>
  <c r="C17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P8" i="16" s="1"/>
  <c r="E8" i="16"/>
  <c r="D8" i="16"/>
  <c r="C8" i="16"/>
  <c r="P7" i="16"/>
  <c r="P6" i="16"/>
  <c r="P33" i="15"/>
  <c r="P34" i="15" s="1"/>
  <c r="P31" i="15"/>
  <c r="P30" i="15"/>
  <c r="N26" i="15"/>
  <c r="K26" i="15"/>
  <c r="J26" i="15"/>
  <c r="I26" i="15"/>
  <c r="H26" i="15"/>
  <c r="G26" i="15"/>
  <c r="F26" i="15"/>
  <c r="C26" i="15"/>
  <c r="P25" i="15"/>
  <c r="P24" i="15"/>
  <c r="N23" i="15"/>
  <c r="M23" i="15"/>
  <c r="M26" i="15" s="1"/>
  <c r="L23" i="15"/>
  <c r="L26" i="15" s="1"/>
  <c r="K23" i="15"/>
  <c r="J23" i="15"/>
  <c r="I23" i="15"/>
  <c r="H23" i="15"/>
  <c r="G23" i="15"/>
  <c r="F23" i="15"/>
  <c r="E23" i="15"/>
  <c r="E26" i="15" s="1"/>
  <c r="D23" i="15"/>
  <c r="D26" i="15" s="1"/>
  <c r="P26" i="15" s="1"/>
  <c r="C23" i="15"/>
  <c r="P22" i="15"/>
  <c r="N19" i="15"/>
  <c r="N28" i="15" s="1"/>
  <c r="M19" i="15"/>
  <c r="L19" i="15"/>
  <c r="K19" i="15"/>
  <c r="K28" i="15" s="1"/>
  <c r="G19" i="15"/>
  <c r="G28" i="15" s="1"/>
  <c r="F19" i="15"/>
  <c r="F28" i="15" s="1"/>
  <c r="E19" i="15"/>
  <c r="E28" i="15" s="1"/>
  <c r="D19" i="15"/>
  <c r="D28" i="15" s="1"/>
  <c r="C19" i="15"/>
  <c r="P19" i="15" s="1"/>
  <c r="P18" i="15"/>
  <c r="N17" i="15"/>
  <c r="M17" i="15"/>
  <c r="L17" i="15"/>
  <c r="K17" i="15"/>
  <c r="J17" i="15"/>
  <c r="J19" i="15" s="1"/>
  <c r="J28" i="15" s="1"/>
  <c r="I17" i="15"/>
  <c r="I19" i="15" s="1"/>
  <c r="I28" i="15" s="1"/>
  <c r="H17" i="15"/>
  <c r="H19" i="15" s="1"/>
  <c r="H28" i="15" s="1"/>
  <c r="G17" i="15"/>
  <c r="F17" i="15"/>
  <c r="E17" i="15"/>
  <c r="D17" i="15"/>
  <c r="C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31" i="14"/>
  <c r="P30" i="14"/>
  <c r="M26" i="14"/>
  <c r="L26" i="14"/>
  <c r="K26" i="14"/>
  <c r="J26" i="14"/>
  <c r="I26" i="14"/>
  <c r="H26" i="14"/>
  <c r="E26" i="14"/>
  <c r="D26" i="14"/>
  <c r="C26" i="14"/>
  <c r="P25" i="14"/>
  <c r="P24" i="14"/>
  <c r="N23" i="14"/>
  <c r="N26" i="14" s="1"/>
  <c r="M23" i="14"/>
  <c r="L23" i="14"/>
  <c r="K23" i="14"/>
  <c r="J23" i="14"/>
  <c r="I23" i="14"/>
  <c r="H23" i="14"/>
  <c r="G23" i="14"/>
  <c r="G26" i="14" s="1"/>
  <c r="F23" i="14"/>
  <c r="F26" i="14" s="1"/>
  <c r="E23" i="14"/>
  <c r="D23" i="14"/>
  <c r="P22" i="14"/>
  <c r="N19" i="14"/>
  <c r="M19" i="14"/>
  <c r="M28" i="14" s="1"/>
  <c r="L19" i="14"/>
  <c r="L28" i="14" s="1"/>
  <c r="K19" i="14"/>
  <c r="K28" i="14" s="1"/>
  <c r="H19" i="14"/>
  <c r="H28" i="14" s="1"/>
  <c r="G19" i="14"/>
  <c r="G28" i="14" s="1"/>
  <c r="F19" i="14"/>
  <c r="F28" i="14" s="1"/>
  <c r="E19" i="14"/>
  <c r="E28" i="14" s="1"/>
  <c r="D19" i="14"/>
  <c r="D28" i="14" s="1"/>
  <c r="C19" i="14"/>
  <c r="P18" i="14"/>
  <c r="N17" i="14"/>
  <c r="M17" i="14"/>
  <c r="L17" i="14"/>
  <c r="K17" i="14"/>
  <c r="J17" i="14"/>
  <c r="J19" i="14" s="1"/>
  <c r="J28" i="14" s="1"/>
  <c r="I17" i="14"/>
  <c r="I19" i="14" s="1"/>
  <c r="I28" i="14" s="1"/>
  <c r="H17" i="14"/>
  <c r="G17" i="14"/>
  <c r="F17" i="14"/>
  <c r="E17" i="14"/>
  <c r="D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34" i="16" l="1"/>
  <c r="P26" i="16"/>
  <c r="P19" i="16"/>
  <c r="F28" i="16"/>
  <c r="C4" i="13"/>
  <c r="C5" i="13" s="1"/>
  <c r="P19" i="14"/>
  <c r="P26" i="14"/>
  <c r="L28" i="15"/>
  <c r="N28" i="14"/>
  <c r="M28" i="15"/>
  <c r="P23" i="14"/>
  <c r="C28" i="14"/>
  <c r="P28" i="14" s="1"/>
  <c r="P17" i="16"/>
  <c r="P23" i="15"/>
  <c r="C28" i="15"/>
  <c r="P23" i="16"/>
  <c r="C28" i="16"/>
  <c r="P28" i="16" l="1"/>
  <c r="P28" i="15"/>
  <c r="C3" i="13" s="1"/>
</calcChain>
</file>

<file path=xl/comments1.xml><?xml version="1.0" encoding="utf-8"?>
<comments xmlns="http://schemas.openxmlformats.org/spreadsheetml/2006/main">
  <authors>
    <author>PC-HOUDA</author>
  </authors>
  <commentList>
    <comment ref="D25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sa cagnotte 
</t>
        </r>
      </text>
    </comment>
  </commentList>
</comments>
</file>

<file path=xl/sharedStrings.xml><?xml version="1.0" encoding="utf-8"?>
<sst xmlns="http://schemas.openxmlformats.org/spreadsheetml/2006/main" count="124" uniqueCount="47">
  <si>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</si>
  <si>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</si>
  <si>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</si>
  <si>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</si>
  <si>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</si>
  <si>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</si>
  <si>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</si>
  <si>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</si>
  <si>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</si>
  <si>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</si>
  <si>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</si>
  <si>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</si>
  <si>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</si>
  <si>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</si>
  <si>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</si>
  <si>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</si>
  <si>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</si>
  <si>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</si>
  <si>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</si>
  <si>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</si>
  <si>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</si>
  <si>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</si>
  <si>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</si>
  <si>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</si>
  <si>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</si>
  <si>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</si>
  <si>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</si>
  <si>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</si>
  <si>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</si>
  <si>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</si>
  <si>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</si>
  <si>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</si>
  <si>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</si>
  <si>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</si>
  <si>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</si>
  <si>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</si>
  <si>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</si>
  <si>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</si>
  <si>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</si>
  <si>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</si>
  <si>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</si>
  <si>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</si>
  <si>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Achat HT</t>
  </si>
  <si>
    <t>TJM (Septembre 2023)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</si>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</sst>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4"/>
  <sheetViews>
    <sheetView topLeftCell="A3" workbookViewId="0">
      <selection activeCell="O17" sqref="O17"/>
    </sheetView>
  </sheetViews>
  <sheetFormatPr baseColWidth="10" defaultRowHeight="14.5" x14ac:dyDescent="0.35"/>
  <cols>
    <col min="1" max="1" width="3" customWidth="1"/>
    <col min="2" max="2" width="28" customWidth="1"/>
    <col min="14" max="14" width="18.81640625" bestFit="1" customWidth="1"/>
    <col min="15" max="15" width="4" customWidth="1"/>
    <col min="16" max="16" width="11" style="48" customWidth="1"/>
  </cols>
  <sheetData>
    <row r="1" spans="2:16" x14ac:dyDescent="0.35">
      <c r="B1" s="65" t="s">
        <v>9</v>
      </c>
    </row>
    <row r="2" spans="2:16" x14ac:dyDescent="0.3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/>
      <c r="D6" s="35">
        <v>2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8</v>
      </c>
      <c r="O6" s="36"/>
      <c r="P6" s="57">
        <f>SUM(C6:N6)</f>
        <v>181</v>
      </c>
    </row>
    <row r="7" spans="2:16" x14ac:dyDescent="0.35">
      <c r="B7" s="9" t="s">
        <v>21</v>
      </c>
      <c r="C7" s="37"/>
      <c r="D7" s="37">
        <v>2</v>
      </c>
      <c r="E7" s="37">
        <v>22</v>
      </c>
      <c r="F7" s="37">
        <v>12</v>
      </c>
      <c r="G7" s="37">
        <v>16</v>
      </c>
      <c r="H7" s="37">
        <v>22</v>
      </c>
      <c r="I7" s="37">
        <v>20</v>
      </c>
      <c r="J7" s="37">
        <v>14</v>
      </c>
      <c r="K7" s="37">
        <v>10</v>
      </c>
      <c r="L7" s="37">
        <v>22</v>
      </c>
      <c r="M7" s="37">
        <v>21</v>
      </c>
      <c r="N7" s="37">
        <v>20</v>
      </c>
      <c r="O7" s="36"/>
      <c r="P7" s="57">
        <f>SUM(C7:N7)</f>
        <v>181</v>
      </c>
    </row>
    <row r="8" spans="2:16" x14ac:dyDescent="0.3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3</v>
      </c>
      <c r="F8" s="63">
        <f t="shared" si="0"/>
        <v>-7</v>
      </c>
      <c r="G8" s="63">
        <f t="shared" si="0"/>
        <v>-3</v>
      </c>
      <c r="H8" s="63">
        <f t="shared" si="0"/>
        <v>3</v>
      </c>
      <c r="I8" s="63">
        <f t="shared" si="0"/>
        <v>1</v>
      </c>
      <c r="J8" s="63">
        <f t="shared" si="0"/>
        <v>-5</v>
      </c>
      <c r="K8" s="63">
        <f t="shared" si="0"/>
        <v>-9</v>
      </c>
      <c r="L8" s="63">
        <f t="shared" si="0"/>
        <v>3</v>
      </c>
      <c r="M8" s="63">
        <f t="shared" si="0"/>
        <v>2</v>
      </c>
      <c r="N8" s="63">
        <f t="shared" si="0"/>
        <v>12</v>
      </c>
      <c r="O8" s="36"/>
      <c r="P8" s="57">
        <f>SUM(C8:N8)</f>
        <v>0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/>
      <c r="D11" s="11">
        <v>2</v>
      </c>
      <c r="E11" s="11">
        <v>22</v>
      </c>
      <c r="F11" s="11">
        <v>12</v>
      </c>
      <c r="G11" s="11">
        <v>16</v>
      </c>
      <c r="H11" s="11">
        <v>22</v>
      </c>
      <c r="I11" s="11">
        <v>20</v>
      </c>
      <c r="J11" s="11">
        <v>14</v>
      </c>
      <c r="K11" s="11">
        <v>10</v>
      </c>
      <c r="L11" s="11">
        <v>22</v>
      </c>
      <c r="M11" s="11">
        <v>21</v>
      </c>
      <c r="N11" s="11">
        <v>20</v>
      </c>
      <c r="P11" s="58">
        <f>SUM(C11:N11)</f>
        <v>181</v>
      </c>
    </row>
    <row r="12" spans="2:16" x14ac:dyDescent="0.35">
      <c r="B12" s="9" t="s">
        <v>16</v>
      </c>
      <c r="C12" s="12"/>
      <c r="D12" s="12"/>
      <c r="E12" s="12">
        <v>1</v>
      </c>
      <c r="F12" s="12">
        <v>7</v>
      </c>
      <c r="G12" s="12">
        <v>4</v>
      </c>
      <c r="H12" s="12"/>
      <c r="I12" s="12"/>
      <c r="J12" s="12">
        <v>8</v>
      </c>
      <c r="K12" s="12">
        <v>0</v>
      </c>
      <c r="L12" s="12"/>
      <c r="M12" s="12"/>
      <c r="N12" s="12"/>
      <c r="P12" s="58">
        <f>SUM(C12:N12)</f>
        <v>20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>
        <v>11</v>
      </c>
      <c r="L13" s="12"/>
      <c r="M13" s="12"/>
      <c r="N13" s="12"/>
      <c r="P13" s="58">
        <f>SUM(C13:N13)</f>
        <v>11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/>
      <c r="D17" s="10">
        <f>D11*Params!$C$5*(1-Params!$C$3)-Params!$C$4</f>
        <v>992.2</v>
      </c>
      <c r="E17" s="10">
        <f>E11*Params!$C$5*(1-Params!$C$3)-Params!$C$4</f>
        <v>11664.2</v>
      </c>
      <c r="F17" s="10">
        <f>F11*Params!$C$5*(1-Params!$C$3)-Params!$C$4</f>
        <v>6328.2000000000007</v>
      </c>
      <c r="G17" s="10">
        <f>G11*Params!$C$5*(1-Params!$C$3)-Params!$C$4</f>
        <v>8462.6</v>
      </c>
      <c r="H17" s="10">
        <f>H11*Params!$C$5*(1-Params!$C$3)-Params!$C$4</f>
        <v>11664.2</v>
      </c>
      <c r="I17" s="10">
        <f>I11*Params!$C$5*(1-Params!$C$3)-Params!$C$4</f>
        <v>10597</v>
      </c>
      <c r="J17" s="10">
        <f>J11*Params!$C$5*(1-Params!$C$3)-Params!$C$4</f>
        <v>7395.4000000000005</v>
      </c>
      <c r="K17" s="10">
        <f>K11*Params!$C$6*(1-Params!$C$3)-Params!$C$4</f>
        <v>4893</v>
      </c>
      <c r="L17" s="10">
        <f>L11*Params!$C$6*(1-Params!$C$3)-Params!$C$4</f>
        <v>10854.6</v>
      </c>
      <c r="M17" s="10">
        <f>M11*Params!$C$6*(1-Params!$C$3)-Params!$C$4</f>
        <v>10357.800000000001</v>
      </c>
      <c r="N17" s="10">
        <f>N11*Params!$C$6*(1-Params!$C$3)-Params!$C$4</f>
        <v>9861</v>
      </c>
      <c r="O17" s="4"/>
      <c r="P17" s="41">
        <f>SUM(C17:N17)</f>
        <v>93070.200000000012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27" t="s">
        <v>2</v>
      </c>
      <c r="C19" s="28">
        <f t="shared" ref="C19:N19" si="1">SUM(C17:C18)</f>
        <v>0</v>
      </c>
      <c r="D19" s="28">
        <f t="shared" si="1"/>
        <v>992.2</v>
      </c>
      <c r="E19" s="28">
        <f t="shared" si="1"/>
        <v>11664.2</v>
      </c>
      <c r="F19" s="28">
        <f t="shared" si="1"/>
        <v>6328.2000000000007</v>
      </c>
      <c r="G19" s="28">
        <f t="shared" si="1"/>
        <v>8462.6</v>
      </c>
      <c r="H19" s="28">
        <f t="shared" si="1"/>
        <v>11664.2</v>
      </c>
      <c r="I19" s="28">
        <f t="shared" si="1"/>
        <v>10597</v>
      </c>
      <c r="J19" s="28">
        <f t="shared" si="1"/>
        <v>7395.4000000000005</v>
      </c>
      <c r="K19" s="28">
        <f t="shared" si="1"/>
        <v>4893</v>
      </c>
      <c r="L19" s="28">
        <f t="shared" si="1"/>
        <v>10854.6</v>
      </c>
      <c r="M19" s="28">
        <f t="shared" si="1"/>
        <v>10357.800000000001</v>
      </c>
      <c r="N19" s="28">
        <f t="shared" si="1"/>
        <v>9861</v>
      </c>
      <c r="O19" s="5"/>
      <c r="P19" s="42">
        <f>SUM(C19:N19)</f>
        <v>93070.200000000012</v>
      </c>
    </row>
    <row r="20" spans="2:16" x14ac:dyDescent="0.3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5">
      <c r="B22" s="9" t="s">
        <v>7</v>
      </c>
      <c r="C22" s="10"/>
      <c r="D22" s="10">
        <v>553.38</v>
      </c>
      <c r="E22" s="10">
        <v>5958.61</v>
      </c>
      <c r="F22" s="10">
        <v>5958.61</v>
      </c>
      <c r="G22" s="10">
        <v>5958.61</v>
      </c>
      <c r="H22" s="10">
        <v>5958.61</v>
      </c>
      <c r="I22" s="10">
        <v>5958.61</v>
      </c>
      <c r="J22" s="10">
        <v>5958.61</v>
      </c>
      <c r="K22" s="10">
        <v>3033.91</v>
      </c>
      <c r="L22" s="10">
        <v>5429.83</v>
      </c>
      <c r="M22" s="10">
        <v>5429.83</v>
      </c>
      <c r="N22" s="10">
        <v>5312.58</v>
      </c>
      <c r="O22" s="4"/>
      <c r="P22" s="43">
        <f>SUM(C22:N22)</f>
        <v>55511.19</v>
      </c>
    </row>
    <row r="23" spans="2:16" x14ac:dyDescent="0.35">
      <c r="B23" s="9" t="s">
        <v>8</v>
      </c>
      <c r="C23" s="10"/>
      <c r="D23" s="10">
        <f>119.46+228.79</f>
        <v>348.25</v>
      </c>
      <c r="E23" s="10">
        <f>1300.65+2472.26</f>
        <v>3772.9100000000003</v>
      </c>
      <c r="F23" s="10">
        <f>1300.65+2472.95</f>
        <v>3773.6</v>
      </c>
      <c r="G23" s="10">
        <f>1300.65+2480.12</f>
        <v>3780.77</v>
      </c>
      <c r="H23" s="10">
        <f>1300.65+2476.54</f>
        <v>3777.19</v>
      </c>
      <c r="I23" s="10">
        <f>1300.65+2473.77</f>
        <v>3774.42</v>
      </c>
      <c r="J23" s="10">
        <f>1300.65+2473.77</f>
        <v>3774.42</v>
      </c>
      <c r="K23" s="10">
        <f>655.45+1263.99</f>
        <v>1919.44</v>
      </c>
      <c r="L23" s="10">
        <f>1293.89+2344.55</f>
        <v>3638.4400000000005</v>
      </c>
      <c r="M23" s="10">
        <f>1293.89+2344.55</f>
        <v>3638.4400000000005</v>
      </c>
      <c r="N23" s="10">
        <f>1280.46+2300.05</f>
        <v>3580.51</v>
      </c>
      <c r="O23" s="4"/>
      <c r="P23" s="43">
        <f>SUM(C23:N23)</f>
        <v>35778.39</v>
      </c>
    </row>
    <row r="24" spans="2:16" x14ac:dyDescent="0.35">
      <c r="B24" s="55" t="s">
        <v>40</v>
      </c>
      <c r="C24" s="10"/>
      <c r="D24" s="10">
        <v>118.98399999999999</v>
      </c>
      <c r="E24" s="10">
        <v>308.82400000000001</v>
      </c>
      <c r="F24" s="10">
        <v>219.952</v>
      </c>
      <c r="G24" s="10">
        <v>259.93599999999998</v>
      </c>
      <c r="H24" s="10">
        <v>319.91199999999998</v>
      </c>
      <c r="I24" s="10">
        <v>299.92</v>
      </c>
      <c r="J24" s="10">
        <v>239.94399999999999</v>
      </c>
      <c r="K24" s="10">
        <v>199.96</v>
      </c>
      <c r="L24" s="10">
        <v>319.91199999999998</v>
      </c>
      <c r="M24" s="10">
        <v>309.916</v>
      </c>
      <c r="N24" s="10">
        <v>309.92</v>
      </c>
      <c r="O24" s="4"/>
      <c r="P24" s="43">
        <f>SUM(C24:N24)</f>
        <v>2907.1800000000003</v>
      </c>
    </row>
    <row r="25" spans="2:16" x14ac:dyDescent="0.35">
      <c r="B25" s="55" t="s">
        <v>42</v>
      </c>
      <c r="C25" s="64"/>
      <c r="D25" s="64">
        <v>99</v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99</v>
      </c>
    </row>
    <row r="26" spans="2:16" x14ac:dyDescent="0.35">
      <c r="B26" s="8" t="s">
        <v>3</v>
      </c>
      <c r="C26" s="44">
        <f t="shared" ref="C26:N26" si="2">SUM(C22:C25)</f>
        <v>0</v>
      </c>
      <c r="D26" s="44">
        <f t="shared" si="2"/>
        <v>1119.614</v>
      </c>
      <c r="E26" s="44">
        <f t="shared" si="2"/>
        <v>10040.344000000001</v>
      </c>
      <c r="F26" s="44">
        <f t="shared" si="2"/>
        <v>9952.1619999999984</v>
      </c>
      <c r="G26" s="44">
        <f t="shared" si="2"/>
        <v>9999.3159999999989</v>
      </c>
      <c r="H26" s="44">
        <f t="shared" si="2"/>
        <v>10055.712</v>
      </c>
      <c r="I26" s="44">
        <f t="shared" si="2"/>
        <v>10032.949999999999</v>
      </c>
      <c r="J26" s="44">
        <f t="shared" si="2"/>
        <v>9972.9739999999983</v>
      </c>
      <c r="K26" s="44">
        <f t="shared" si="2"/>
        <v>5153.3100000000004</v>
      </c>
      <c r="L26" s="44">
        <f t="shared" si="2"/>
        <v>9388.1820000000007</v>
      </c>
      <c r="M26" s="44">
        <f t="shared" si="2"/>
        <v>9378.1859999999997</v>
      </c>
      <c r="N26" s="44">
        <f t="shared" si="2"/>
        <v>9203.01</v>
      </c>
      <c r="O26" s="4"/>
      <c r="P26" s="60">
        <f>SUM(C26:N26)</f>
        <v>94295.76</v>
      </c>
    </row>
    <row r="27" spans="2:16" x14ac:dyDescent="0.3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5">
      <c r="B28" s="46" t="s">
        <v>36</v>
      </c>
      <c r="C28" s="47">
        <f t="shared" ref="C28:N28" si="3">C19-C26</f>
        <v>0</v>
      </c>
      <c r="D28" s="47">
        <f t="shared" si="3"/>
        <v>-127.41399999999999</v>
      </c>
      <c r="E28" s="47">
        <f t="shared" si="3"/>
        <v>1623.8559999999998</v>
      </c>
      <c r="F28" s="47">
        <f t="shared" si="3"/>
        <v>-3623.9619999999977</v>
      </c>
      <c r="G28" s="47">
        <f t="shared" si="3"/>
        <v>-1536.7159999999985</v>
      </c>
      <c r="H28" s="47">
        <f t="shared" si="3"/>
        <v>1608.4880000000012</v>
      </c>
      <c r="I28" s="47">
        <f t="shared" si="3"/>
        <v>564.05000000000109</v>
      </c>
      <c r="J28" s="47">
        <f t="shared" si="3"/>
        <v>-2577.5739999999978</v>
      </c>
      <c r="K28" s="47">
        <f t="shared" si="3"/>
        <v>-260.3100000000004</v>
      </c>
      <c r="L28" s="47">
        <f t="shared" si="3"/>
        <v>1466.4179999999997</v>
      </c>
      <c r="M28" s="47">
        <f t="shared" si="3"/>
        <v>979.6140000000014</v>
      </c>
      <c r="N28" s="47">
        <f t="shared" si="3"/>
        <v>657.98999999999978</v>
      </c>
      <c r="P28" s="59">
        <f>SUM(C28:N28)</f>
        <v>-1225.5599999999913</v>
      </c>
    </row>
    <row r="30" spans="2:16" x14ac:dyDescent="0.35">
      <c r="B30" s="62" t="s">
        <v>37</v>
      </c>
      <c r="C30" s="54"/>
      <c r="D30" s="54">
        <v>56</v>
      </c>
      <c r="E30" s="54">
        <v>616</v>
      </c>
      <c r="F30" s="54">
        <v>336</v>
      </c>
      <c r="G30" s="54">
        <v>448</v>
      </c>
      <c r="H30" s="54">
        <v>616</v>
      </c>
      <c r="I30" s="54">
        <v>560</v>
      </c>
      <c r="J30" s="54">
        <v>392</v>
      </c>
      <c r="K30" s="54">
        <v>280</v>
      </c>
      <c r="L30" s="54">
        <v>616</v>
      </c>
      <c r="M30" s="54">
        <v>588</v>
      </c>
      <c r="N30" s="54">
        <v>560</v>
      </c>
      <c r="P30" s="61">
        <f>SUM(C30:N30)</f>
        <v>5068</v>
      </c>
    </row>
    <row r="31" spans="2:16" x14ac:dyDescent="0.35">
      <c r="B31" s="62" t="s">
        <v>38</v>
      </c>
      <c r="C31" s="54"/>
      <c r="D31" s="54">
        <v>118.98399999999999</v>
      </c>
      <c r="E31" s="54">
        <v>308.82400000000001</v>
      </c>
      <c r="F31" s="54">
        <v>219.952</v>
      </c>
      <c r="G31" s="54">
        <v>259.93599999999998</v>
      </c>
      <c r="H31" s="54">
        <v>319.91199999999998</v>
      </c>
      <c r="I31" s="54">
        <v>299.92</v>
      </c>
      <c r="J31" s="54">
        <v>239.94399999999999</v>
      </c>
      <c r="K31" s="54">
        <v>199.96</v>
      </c>
      <c r="L31" s="54">
        <v>319.91199999999998</v>
      </c>
      <c r="M31" s="54">
        <v>309.916</v>
      </c>
      <c r="N31" s="54">
        <v>309.92</v>
      </c>
      <c r="P31" s="61">
        <f>SUM(C31:N31)</f>
        <v>2907.1800000000003</v>
      </c>
    </row>
    <row r="32" spans="2:16" x14ac:dyDescent="0.35">
      <c r="P32"/>
    </row>
    <row r="33" spans="16:16" x14ac:dyDescent="0.35">
      <c r="P33"/>
    </row>
    <row r="34" spans="16:16" x14ac:dyDescent="0.35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topLeftCell="A3" workbookViewId="0">
      <selection activeCell="P17" sqref="P17"/>
    </sheetView>
  </sheetViews>
  <sheetFormatPr baseColWidth="10" defaultRowHeight="14.5" x14ac:dyDescent="0.35"/>
  <cols>
    <col min="1" max="1" width="3" customWidth="1"/>
    <col min="2" max="2" width="28" customWidth="1"/>
    <col min="14" max="14" width="20.1796875" bestFit="1" customWidth="1"/>
    <col min="15" max="15" width="4" customWidth="1"/>
    <col min="16" max="16" width="11" style="48" customWidth="1"/>
  </cols>
  <sheetData>
    <row r="1" spans="2:16" x14ac:dyDescent="0.35">
      <c r="B1" s="65" t="s">
        <v>9</v>
      </c>
    </row>
    <row r="2" spans="2:16" x14ac:dyDescent="0.3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>
        <v>19</v>
      </c>
      <c r="D6" s="35">
        <v>19</v>
      </c>
      <c r="E6" s="35">
        <v>19</v>
      </c>
      <c r="F6" s="37">
        <v>14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223</v>
      </c>
    </row>
    <row r="7" spans="2:16" x14ac:dyDescent="0.35">
      <c r="B7" s="9" t="s">
        <v>21</v>
      </c>
      <c r="C7" s="37">
        <v>22</v>
      </c>
      <c r="D7" s="37">
        <v>21</v>
      </c>
      <c r="E7" s="37">
        <v>21</v>
      </c>
      <c r="F7" s="37">
        <v>6</v>
      </c>
      <c r="G7" s="37">
        <v>20</v>
      </c>
      <c r="H7" s="37">
        <v>20</v>
      </c>
      <c r="I7" s="37">
        <v>23</v>
      </c>
      <c r="J7" s="37">
        <v>17</v>
      </c>
      <c r="K7" s="37">
        <v>21</v>
      </c>
      <c r="L7" s="37">
        <v>23</v>
      </c>
      <c r="M7" s="37">
        <v>19</v>
      </c>
      <c r="N7" s="37">
        <v>19</v>
      </c>
      <c r="O7" s="36"/>
      <c r="P7" s="57">
        <f>SUM(C7:N7)</f>
        <v>232</v>
      </c>
    </row>
    <row r="8" spans="2:16" x14ac:dyDescent="0.35">
      <c r="B8" s="18" t="s">
        <v>22</v>
      </c>
      <c r="C8" s="63">
        <f t="shared" ref="C8:N8" si="0">C7-C6</f>
        <v>3</v>
      </c>
      <c r="D8" s="63">
        <f t="shared" si="0"/>
        <v>2</v>
      </c>
      <c r="E8" s="63">
        <f t="shared" si="0"/>
        <v>2</v>
      </c>
      <c r="F8" s="63">
        <f t="shared" si="0"/>
        <v>-8</v>
      </c>
      <c r="G8" s="63">
        <f t="shared" si="0"/>
        <v>1</v>
      </c>
      <c r="H8" s="63">
        <f t="shared" si="0"/>
        <v>1</v>
      </c>
      <c r="I8" s="63">
        <f t="shared" si="0"/>
        <v>4</v>
      </c>
      <c r="J8" s="63">
        <f t="shared" si="0"/>
        <v>-2</v>
      </c>
      <c r="K8" s="63">
        <f t="shared" si="0"/>
        <v>2</v>
      </c>
      <c r="L8" s="63">
        <f t="shared" si="0"/>
        <v>4</v>
      </c>
      <c r="M8" s="63">
        <f t="shared" si="0"/>
        <v>0</v>
      </c>
      <c r="N8" s="63">
        <f t="shared" si="0"/>
        <v>0</v>
      </c>
      <c r="O8" s="36"/>
      <c r="P8" s="57">
        <f>SUM(C8:N8)</f>
        <v>9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>
        <v>22</v>
      </c>
      <c r="D11" s="11">
        <v>21</v>
      </c>
      <c r="E11" s="11">
        <v>21</v>
      </c>
      <c r="F11" s="11">
        <v>6</v>
      </c>
      <c r="G11" s="11">
        <v>20</v>
      </c>
      <c r="H11" s="11">
        <v>20</v>
      </c>
      <c r="I11" s="11">
        <v>23</v>
      </c>
      <c r="J11" s="11">
        <v>17</v>
      </c>
      <c r="K11" s="11">
        <v>21</v>
      </c>
      <c r="L11" s="11">
        <v>23</v>
      </c>
      <c r="M11" s="11">
        <v>19</v>
      </c>
      <c r="N11" s="11">
        <v>19</v>
      </c>
      <c r="P11" s="58">
        <f>SUM(C11:N11)</f>
        <v>232</v>
      </c>
    </row>
    <row r="12" spans="2:16" x14ac:dyDescent="0.35">
      <c r="B12" s="9" t="s">
        <v>16</v>
      </c>
      <c r="C12" s="12"/>
      <c r="D12" s="12"/>
      <c r="E12" s="12"/>
      <c r="F12" s="12">
        <v>10</v>
      </c>
      <c r="G12" s="12"/>
      <c r="H12" s="12"/>
      <c r="I12" s="12"/>
      <c r="J12" s="12">
        <v>4</v>
      </c>
      <c r="K12" s="12"/>
      <c r="L12" s="12"/>
      <c r="M12" s="12"/>
      <c r="N12" s="12">
        <v>2</v>
      </c>
      <c r="P12" s="58">
        <f>SUM(C12:N12)</f>
        <v>16</v>
      </c>
    </row>
    <row r="13" spans="2:16" x14ac:dyDescent="0.35">
      <c r="B13" s="9" t="s">
        <v>17</v>
      </c>
      <c r="C13" s="12"/>
      <c r="D13" s="12"/>
      <c r="E13" s="12"/>
      <c r="F13" s="12">
        <v>5</v>
      </c>
      <c r="G13" s="12"/>
      <c r="H13" s="12"/>
      <c r="I13" s="12"/>
      <c r="J13" s="12"/>
      <c r="K13" s="12"/>
      <c r="L13" s="12"/>
      <c r="M13" s="12"/>
      <c r="N13" s="12"/>
      <c r="P13" s="58">
        <f>SUM(C13:N13)</f>
        <v>5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>
        <f>C11*Params!$C$6*(1-Params!$C$3)-Params!$C$4</f>
        <v>10854.6</v>
      </c>
      <c r="D17" s="10">
        <f>D11*Params!$C$6*(1-Params!$C$3)-Params!$C$4</f>
        <v>10357.800000000001</v>
      </c>
      <c r="E17" s="10">
        <f>E11*Params!$C$6*(1-Params!$C$3)-Params!$C$4</f>
        <v>10357.800000000001</v>
      </c>
      <c r="F17" s="10">
        <f>F11*Params!$C$6*(1-Params!$C$3)-Params!$C$4</f>
        <v>2905.8</v>
      </c>
      <c r="G17" s="10">
        <f>G11*Params!$C$6*(1-Params!$C$3)-Params!$C$4</f>
        <v>9861</v>
      </c>
      <c r="H17" s="10">
        <f>H11*Params!$C$6*(1-Params!$C$3)-Params!$C$4</f>
        <v>9861</v>
      </c>
      <c r="I17" s="10">
        <f>I11*Params!$C$6*(1-Params!$C$3)-Params!$C$4</f>
        <v>11351.4</v>
      </c>
      <c r="J17" s="10">
        <f>J11*Params!$C$6*(1-Params!$C$3)-Params!$C$4</f>
        <v>8370.6</v>
      </c>
      <c r="K17" s="10">
        <f>K11*Params!$C$6*(1-Params!$C$3)-Params!$C$4</f>
        <v>10357.800000000001</v>
      </c>
      <c r="L17" s="10">
        <f>L11*Params!$C$6*(1-Params!$C$3)-Params!$C$4</f>
        <v>11351.4</v>
      </c>
      <c r="M17" s="10">
        <f>M11*Params!$C$6*(1-Params!$C$3)-Params!$C$4</f>
        <v>9364.2000000000007</v>
      </c>
      <c r="N17" s="10">
        <f>N11*Params!$C$6*(1-Params!$C$3)-Params!$C$4</f>
        <v>9364.2000000000007</v>
      </c>
      <c r="O17" s="4"/>
      <c r="P17" s="41">
        <f>SUM(C17:N17)</f>
        <v>114357.6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27" t="s">
        <v>2</v>
      </c>
      <c r="C19" s="28">
        <f t="shared" ref="C19:N19" si="1">SUM(C17:C18)</f>
        <v>10854.6</v>
      </c>
      <c r="D19" s="28">
        <f t="shared" si="1"/>
        <v>10357.800000000001</v>
      </c>
      <c r="E19" s="28">
        <f t="shared" si="1"/>
        <v>10357.800000000001</v>
      </c>
      <c r="F19" s="28">
        <f t="shared" si="1"/>
        <v>2905.8</v>
      </c>
      <c r="G19" s="28">
        <f t="shared" si="1"/>
        <v>9861</v>
      </c>
      <c r="H19" s="28">
        <f t="shared" si="1"/>
        <v>9861</v>
      </c>
      <c r="I19" s="28">
        <f t="shared" si="1"/>
        <v>11351.4</v>
      </c>
      <c r="J19" s="28">
        <f t="shared" si="1"/>
        <v>8370.6</v>
      </c>
      <c r="K19" s="28">
        <f t="shared" si="1"/>
        <v>10357.800000000001</v>
      </c>
      <c r="L19" s="28">
        <f t="shared" si="1"/>
        <v>11351.4</v>
      </c>
      <c r="M19" s="28">
        <f t="shared" si="1"/>
        <v>9364.2000000000007</v>
      </c>
      <c r="N19" s="28">
        <f t="shared" si="1"/>
        <v>9364.2000000000007</v>
      </c>
      <c r="O19" s="5"/>
      <c r="P19" s="42">
        <f>SUM(C19:N19)</f>
        <v>114357.6</v>
      </c>
    </row>
    <row r="20" spans="2:16" x14ac:dyDescent="0.3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5">
      <c r="B22" s="9" t="s">
        <v>7</v>
      </c>
      <c r="C22" s="10">
        <v>5420.32</v>
      </c>
      <c r="D22" s="10">
        <v>5420.32</v>
      </c>
      <c r="E22" s="10">
        <v>5420.32</v>
      </c>
      <c r="F22" s="10">
        <v>4147.55</v>
      </c>
      <c r="G22" s="10">
        <v>5420.32</v>
      </c>
      <c r="H22" s="10">
        <v>5420.32</v>
      </c>
      <c r="I22" s="10">
        <v>5420.32</v>
      </c>
      <c r="J22" s="10">
        <v>5420.32</v>
      </c>
      <c r="K22" s="10">
        <v>5429.84</v>
      </c>
      <c r="L22" s="10">
        <v>5420.32</v>
      </c>
      <c r="M22" s="10">
        <v>5420.32</v>
      </c>
      <c r="N22" s="10">
        <v>5420.32</v>
      </c>
      <c r="O22" s="4"/>
      <c r="P22" s="43">
        <f>SUM(C22:N22)</f>
        <v>63780.590000000004</v>
      </c>
    </row>
    <row r="23" spans="2:16" x14ac:dyDescent="0.35">
      <c r="B23" s="9" t="s">
        <v>8</v>
      </c>
      <c r="C23" s="10">
        <f>1307.96+2361.64</f>
        <v>3669.6</v>
      </c>
      <c r="D23" s="10">
        <f>1307.96+2361.64</f>
        <v>3669.6</v>
      </c>
      <c r="E23" s="10">
        <f>1307.96+2361.64</f>
        <v>3669.6</v>
      </c>
      <c r="F23" s="10">
        <f>1020.62+1845.78</f>
        <v>2866.4</v>
      </c>
      <c r="G23" s="10">
        <f>1307.96+2386.87</f>
        <v>3694.83</v>
      </c>
      <c r="H23" s="10">
        <f>1307.96+2386.87</f>
        <v>3694.83</v>
      </c>
      <c r="I23" s="10">
        <f>1307.96+2389.68</f>
        <v>3697.64</v>
      </c>
      <c r="J23" s="10">
        <f>1307.96+2389.68</f>
        <v>3697.64</v>
      </c>
      <c r="K23" s="10">
        <f>1310.08+2393.7</f>
        <v>3703.7799999999997</v>
      </c>
      <c r="L23" s="10">
        <f>1307.96+2389.68</f>
        <v>3697.64</v>
      </c>
      <c r="M23" s="10">
        <f>1307.96+2389.68</f>
        <v>3697.64</v>
      </c>
      <c r="N23" s="10">
        <f>1307.96+2389.68</f>
        <v>3697.64</v>
      </c>
      <c r="O23" s="4"/>
      <c r="P23" s="43">
        <f>SUM(C23:N23)</f>
        <v>43456.84</v>
      </c>
    </row>
    <row r="24" spans="2:16" x14ac:dyDescent="0.35">
      <c r="B24" s="55" t="s">
        <v>40</v>
      </c>
      <c r="C24" s="10">
        <v>309.91199999999998</v>
      </c>
      <c r="D24" s="10">
        <v>309.916</v>
      </c>
      <c r="E24" s="10">
        <v>309.916</v>
      </c>
      <c r="F24" s="10">
        <v>159.976</v>
      </c>
      <c r="G24" s="10">
        <v>299.92</v>
      </c>
      <c r="H24" s="10">
        <v>299.92</v>
      </c>
      <c r="I24" s="10">
        <v>329.90800000000002</v>
      </c>
      <c r="J24" s="10">
        <v>269.93200000000002</v>
      </c>
      <c r="K24" s="10">
        <v>309.916</v>
      </c>
      <c r="L24" s="10">
        <v>329.90800000000002</v>
      </c>
      <c r="M24" s="10">
        <v>289.92399999999998</v>
      </c>
      <c r="N24" s="10">
        <v>494.92399999999998</v>
      </c>
      <c r="O24" s="4"/>
      <c r="P24" s="43">
        <f>SUM(C24:N24)</f>
        <v>3714.0719999999997</v>
      </c>
    </row>
    <row r="25" spans="2:16" x14ac:dyDescent="0.35">
      <c r="B25" s="55" t="s">
        <v>42</v>
      </c>
      <c r="C25" s="64"/>
      <c r="D25" s="64"/>
      <c r="E25" s="64"/>
      <c r="F25" s="64"/>
      <c r="G25" s="64"/>
      <c r="H25" s="64">
        <v>79</v>
      </c>
      <c r="I25" s="64"/>
      <c r="J25" s="64"/>
      <c r="K25" s="64"/>
      <c r="L25" s="64"/>
      <c r="M25" s="64"/>
      <c r="N25" s="64"/>
      <c r="O25" s="4"/>
      <c r="P25" s="43">
        <f>SUM(C25:N25)</f>
        <v>79</v>
      </c>
    </row>
    <row r="26" spans="2:16" x14ac:dyDescent="0.35">
      <c r="B26" s="8" t="s">
        <v>3</v>
      </c>
      <c r="C26" s="44">
        <f t="shared" ref="C26:N26" si="2">SUM(C22:C25)</f>
        <v>9399.8320000000003</v>
      </c>
      <c r="D26" s="44">
        <f t="shared" si="2"/>
        <v>9399.8359999999993</v>
      </c>
      <c r="E26" s="44">
        <f t="shared" si="2"/>
        <v>9399.8359999999993</v>
      </c>
      <c r="F26" s="44">
        <f t="shared" si="2"/>
        <v>7173.9260000000004</v>
      </c>
      <c r="G26" s="44">
        <f t="shared" si="2"/>
        <v>9415.07</v>
      </c>
      <c r="H26" s="44">
        <f t="shared" si="2"/>
        <v>9494.07</v>
      </c>
      <c r="I26" s="44">
        <f t="shared" si="2"/>
        <v>9447.8679999999986</v>
      </c>
      <c r="J26" s="44">
        <f t="shared" si="2"/>
        <v>9387.8919999999998</v>
      </c>
      <c r="K26" s="44">
        <f t="shared" si="2"/>
        <v>9443.5359999999982</v>
      </c>
      <c r="L26" s="44">
        <f t="shared" si="2"/>
        <v>9447.8679999999986</v>
      </c>
      <c r="M26" s="44">
        <f t="shared" si="2"/>
        <v>9407.8839999999982</v>
      </c>
      <c r="N26" s="44">
        <f t="shared" si="2"/>
        <v>9612.8839999999982</v>
      </c>
      <c r="O26" s="4"/>
      <c r="P26" s="60">
        <f>SUM(C26:N26)</f>
        <v>111030.50199999998</v>
      </c>
    </row>
    <row r="27" spans="2:16" x14ac:dyDescent="0.3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5">
      <c r="B28" s="46" t="s">
        <v>36</v>
      </c>
      <c r="C28" s="47">
        <f t="shared" ref="C28:N28" si="3">C19-C26</f>
        <v>1454.768</v>
      </c>
      <c r="D28" s="47">
        <f t="shared" si="3"/>
        <v>957.96400000000176</v>
      </c>
      <c r="E28" s="47">
        <f t="shared" si="3"/>
        <v>957.96400000000176</v>
      </c>
      <c r="F28" s="47">
        <f t="shared" si="3"/>
        <v>-4268.1260000000002</v>
      </c>
      <c r="G28" s="47">
        <f t="shared" si="3"/>
        <v>445.93000000000029</v>
      </c>
      <c r="H28" s="47">
        <f t="shared" si="3"/>
        <v>366.93000000000029</v>
      </c>
      <c r="I28" s="47">
        <f t="shared" si="3"/>
        <v>1903.5320000000011</v>
      </c>
      <c r="J28" s="47">
        <f t="shared" si="3"/>
        <v>-1017.2919999999995</v>
      </c>
      <c r="K28" s="47">
        <f t="shared" si="3"/>
        <v>914.26400000000285</v>
      </c>
      <c r="L28" s="47">
        <f t="shared" si="3"/>
        <v>1903.5320000000011</v>
      </c>
      <c r="M28" s="47">
        <f t="shared" si="3"/>
        <v>-43.683999999997468</v>
      </c>
      <c r="N28" s="47">
        <f t="shared" si="3"/>
        <v>-248.68399999999747</v>
      </c>
      <c r="P28" s="59">
        <f>SUM(C28:N28)</f>
        <v>3327.0980000000145</v>
      </c>
    </row>
    <row r="30" spans="2:16" x14ac:dyDescent="0.35">
      <c r="B30" s="62" t="s">
        <v>37</v>
      </c>
      <c r="C30" s="54">
        <v>616</v>
      </c>
      <c r="D30" s="54">
        <v>588</v>
      </c>
      <c r="E30" s="54">
        <v>588</v>
      </c>
      <c r="F30" s="54">
        <v>168</v>
      </c>
      <c r="G30" s="54">
        <v>560</v>
      </c>
      <c r="H30" s="54">
        <v>560</v>
      </c>
      <c r="I30" s="54">
        <v>644</v>
      </c>
      <c r="J30" s="54">
        <v>476</v>
      </c>
      <c r="K30" s="54">
        <v>588</v>
      </c>
      <c r="L30" s="54">
        <v>644</v>
      </c>
      <c r="M30" s="54">
        <v>532</v>
      </c>
      <c r="N30" s="54">
        <v>532</v>
      </c>
      <c r="P30" s="61">
        <f>SUM(C30:N30)</f>
        <v>6496</v>
      </c>
    </row>
    <row r="31" spans="2:16" x14ac:dyDescent="0.35">
      <c r="B31" s="62" t="s">
        <v>38</v>
      </c>
      <c r="C31" s="54">
        <v>309.91199999999998</v>
      </c>
      <c r="D31" s="54">
        <v>309.916</v>
      </c>
      <c r="E31" s="54">
        <v>309.916</v>
      </c>
      <c r="F31" s="54">
        <v>159.976</v>
      </c>
      <c r="G31" s="54">
        <v>299.92</v>
      </c>
      <c r="H31" s="54">
        <v>299.92</v>
      </c>
      <c r="I31" s="54">
        <v>329.90800000000002</v>
      </c>
      <c r="J31" s="54">
        <v>269.93200000000002</v>
      </c>
      <c r="K31" s="54">
        <v>309.916</v>
      </c>
      <c r="L31" s="54">
        <v>329.90800000000002</v>
      </c>
      <c r="M31" s="54">
        <v>289.92399999999998</v>
      </c>
      <c r="N31" s="54">
        <v>494.92399999999998</v>
      </c>
      <c r="P31" s="61">
        <f>SUM(C31:N31)</f>
        <v>3714.0719999999997</v>
      </c>
    </row>
    <row r="33" spans="14:16" x14ac:dyDescent="0.35">
      <c r="N33" s="54" t="s">
        <v>44</v>
      </c>
      <c r="P33" s="61">
        <f>(P30*0.357) + 1395</f>
        <v>3714.0720000000001</v>
      </c>
    </row>
    <row r="34" spans="14:16" x14ac:dyDescent="0.35">
      <c r="N34" s="54" t="s">
        <v>45</v>
      </c>
      <c r="P34" s="61">
        <f>P33-P31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topLeftCell="A21" workbookViewId="0">
      <selection activeCell="F32" sqref="F32"/>
    </sheetView>
  </sheetViews>
  <sheetFormatPr baseColWidth="10" defaultRowHeight="14.5" x14ac:dyDescent="0.35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5">
      <c r="B1" s="65" t="s">
        <v>9</v>
      </c>
    </row>
    <row r="2" spans="2:16" x14ac:dyDescent="0.3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76</v>
      </c>
    </row>
    <row r="7" spans="2:16" x14ac:dyDescent="0.35">
      <c r="B7" s="9" t="s">
        <v>21</v>
      </c>
      <c r="C7" s="37">
        <v>22</v>
      </c>
      <c r="D7" s="37">
        <v>20</v>
      </c>
      <c r="E7" s="37">
        <v>19</v>
      </c>
      <c r="F7" s="37">
        <v>7</v>
      </c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68</v>
      </c>
    </row>
    <row r="8" spans="2:16" x14ac:dyDescent="0.35">
      <c r="B8" s="18" t="s">
        <v>22</v>
      </c>
      <c r="C8" s="63">
        <f t="shared" ref="C8:N8" si="0">C7-C6</f>
        <v>3</v>
      </c>
      <c r="D8" s="63">
        <f t="shared" si="0"/>
        <v>1</v>
      </c>
      <c r="E8" s="63">
        <f t="shared" si="0"/>
        <v>0</v>
      </c>
      <c r="F8" s="63">
        <f t="shared" si="0"/>
        <v>-12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-8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>
        <v>22</v>
      </c>
      <c r="D11" s="11">
        <v>20</v>
      </c>
      <c r="E11" s="11">
        <v>19</v>
      </c>
      <c r="F11" s="11">
        <v>7</v>
      </c>
      <c r="G11" s="11"/>
      <c r="H11" s="11"/>
      <c r="I11" s="11"/>
      <c r="J11" s="11"/>
      <c r="K11" s="11"/>
      <c r="L11" s="11"/>
      <c r="M11" s="11"/>
      <c r="N11" s="11"/>
      <c r="P11" s="58">
        <f>SUM(C11:N11)</f>
        <v>68</v>
      </c>
    </row>
    <row r="12" spans="2:16" x14ac:dyDescent="0.35">
      <c r="B12" s="9" t="s">
        <v>16</v>
      </c>
      <c r="C12" s="12"/>
      <c r="D12" s="12"/>
      <c r="E12" s="12">
        <v>2</v>
      </c>
      <c r="F12" s="12">
        <v>14</v>
      </c>
      <c r="G12" s="12"/>
      <c r="H12" s="12"/>
      <c r="I12" s="12"/>
      <c r="J12" s="12"/>
      <c r="K12" s="12"/>
      <c r="L12" s="12"/>
      <c r="M12" s="12"/>
      <c r="N12" s="12"/>
      <c r="P12" s="58">
        <f>SUM(C12:N12)</f>
        <v>16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>
        <f>C11*Params!$C$6*(1-Params!$C$3)-Params!$C$4</f>
        <v>10854.6</v>
      </c>
      <c r="D17" s="10">
        <f>D11*Params!$C$6*(1-Params!$C$3)-Params!$C$4</f>
        <v>9861</v>
      </c>
      <c r="E17" s="10">
        <f>E11*Params!$C$6*(1-Params!$C$3)-Params!$C$4</f>
        <v>9364.2000000000007</v>
      </c>
      <c r="F17" s="10">
        <f>F11*Params!$C$6*(1-Params!$C$3)-Params!$C$4</f>
        <v>3402.6000000000004</v>
      </c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33482.400000000001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27" t="s">
        <v>2</v>
      </c>
      <c r="C19" s="28">
        <f t="shared" ref="C19:N19" si="1">SUM(C17:C18)</f>
        <v>10854.6</v>
      </c>
      <c r="D19" s="28">
        <f t="shared" si="1"/>
        <v>9861</v>
      </c>
      <c r="E19" s="28">
        <f t="shared" si="1"/>
        <v>9364.2000000000007</v>
      </c>
      <c r="F19" s="28">
        <f t="shared" si="1"/>
        <v>3402.6000000000004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33482.400000000001</v>
      </c>
    </row>
    <row r="20" spans="2:16" x14ac:dyDescent="0.3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5">
      <c r="B22" s="9" t="s">
        <v>7</v>
      </c>
      <c r="C22" s="10">
        <v>5418.74</v>
      </c>
      <c r="D22" s="10">
        <v>5418.74</v>
      </c>
      <c r="E22" s="10">
        <v>5418.74</v>
      </c>
      <c r="F22" s="10">
        <v>5418.74</v>
      </c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21674.959999999999</v>
      </c>
    </row>
    <row r="23" spans="2:16" x14ac:dyDescent="0.35">
      <c r="B23" s="9" t="s">
        <v>8</v>
      </c>
      <c r="C23" s="10">
        <f>1314.1+2396.05</f>
        <v>3710.15</v>
      </c>
      <c r="D23" s="10">
        <f>1314.1+2396.05</f>
        <v>3710.15</v>
      </c>
      <c r="E23" s="10">
        <f>1314.1+2396.05</f>
        <v>3710.15</v>
      </c>
      <c r="F23" s="10">
        <f>1314.1+2396.05</f>
        <v>3710.15</v>
      </c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14840.6</v>
      </c>
    </row>
    <row r="24" spans="2:16" x14ac:dyDescent="0.35">
      <c r="B24" s="55" t="s">
        <v>40</v>
      </c>
      <c r="C24" s="10">
        <v>319.91199999999998</v>
      </c>
      <c r="D24" s="10">
        <v>299.92</v>
      </c>
      <c r="E24" s="10">
        <v>289.92399999999998</v>
      </c>
      <c r="F24" s="10">
        <v>169.97</v>
      </c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1079.7259999999999</v>
      </c>
    </row>
    <row r="25" spans="2:16" x14ac:dyDescent="0.35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5">
      <c r="B26" s="8" t="s">
        <v>3</v>
      </c>
      <c r="C26" s="44">
        <f t="shared" ref="C26:N26" si="2">SUM(C22:C25)</f>
        <v>9448.8019999999997</v>
      </c>
      <c r="D26" s="44">
        <f t="shared" si="2"/>
        <v>9428.81</v>
      </c>
      <c r="E26" s="44">
        <f t="shared" si="2"/>
        <v>9418.8139999999985</v>
      </c>
      <c r="F26" s="44">
        <f t="shared" si="2"/>
        <v>9298.8599999999988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37595.286</v>
      </c>
    </row>
    <row r="27" spans="2:16" x14ac:dyDescent="0.3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5">
      <c r="B28" s="46" t="s">
        <v>36</v>
      </c>
      <c r="C28" s="47">
        <f t="shared" ref="C28:N28" si="3">C19-C26</f>
        <v>1405.7980000000007</v>
      </c>
      <c r="D28" s="47">
        <f t="shared" si="3"/>
        <v>432.19000000000051</v>
      </c>
      <c r="E28" s="47">
        <f t="shared" si="3"/>
        <v>-54.613999999997759</v>
      </c>
      <c r="F28" s="47">
        <f t="shared" si="3"/>
        <v>-5896.2599999999984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SUM(C28:N28)</f>
        <v>-4112.885999999995</v>
      </c>
    </row>
    <row r="30" spans="2:16" x14ac:dyDescent="0.35">
      <c r="B30" s="62" t="s">
        <v>37</v>
      </c>
      <c r="C30" s="54">
        <v>616</v>
      </c>
      <c r="D30" s="54">
        <v>560</v>
      </c>
      <c r="E30" s="54">
        <v>532</v>
      </c>
      <c r="F30" s="54">
        <v>196</v>
      </c>
      <c r="G30" s="54"/>
      <c r="H30" s="54"/>
      <c r="I30" s="54"/>
      <c r="J30" s="54"/>
      <c r="K30" s="54"/>
      <c r="L30" s="54"/>
      <c r="M30" s="54"/>
      <c r="N30" s="54"/>
      <c r="P30" s="61">
        <f>SUM(C30:N30)</f>
        <v>1904</v>
      </c>
    </row>
    <row r="31" spans="2:16" x14ac:dyDescent="0.35">
      <c r="B31" s="62" t="s">
        <v>38</v>
      </c>
      <c r="C31" s="54">
        <v>319.91199999999998</v>
      </c>
      <c r="D31" s="54">
        <v>299.92</v>
      </c>
      <c r="E31" s="54">
        <v>289.92399999999998</v>
      </c>
      <c r="F31" s="54">
        <v>169.97</v>
      </c>
      <c r="G31" s="54"/>
      <c r="H31" s="54"/>
      <c r="I31" s="54"/>
      <c r="J31" s="54"/>
      <c r="K31" s="54"/>
      <c r="L31" s="54"/>
      <c r="M31" s="54"/>
      <c r="N31" s="54"/>
      <c r="P31" s="61">
        <f>SUM(C31:N31)</f>
        <v>1079.7259999999999</v>
      </c>
    </row>
    <row r="33" spans="14:16" x14ac:dyDescent="0.35">
      <c r="N33" s="54" t="s">
        <v>44</v>
      </c>
      <c r="P33" s="61">
        <f>(P30*0.357) + 1395</f>
        <v>2074.7280000000001</v>
      </c>
    </row>
    <row r="34" spans="14:16" x14ac:dyDescent="0.35">
      <c r="N34" s="54" t="s">
        <v>45</v>
      </c>
      <c r="P34" s="61">
        <f>P33-P31</f>
        <v>995.00200000000018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workbookViewId="0">
      <selection activeCell="C7" sqref="C7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7" t="s">
        <v>23</v>
      </c>
      <c r="C2" s="68"/>
    </row>
    <row r="3" spans="2:3" ht="30" customHeight="1" x14ac:dyDescent="0.35">
      <c r="B3" s="33" t="s">
        <v>12</v>
      </c>
      <c r="C3" s="34">
        <v>0.08</v>
      </c>
    </row>
    <row r="4" spans="2:3" ht="30" customHeight="1" x14ac:dyDescent="0.35">
      <c r="B4" s="33" t="s">
        <v>13</v>
      </c>
      <c r="C4" s="33">
        <v>75</v>
      </c>
    </row>
    <row r="5" spans="2:3" ht="30" customHeight="1" x14ac:dyDescent="0.35">
      <c r="B5" s="33" t="s">
        <v>41</v>
      </c>
      <c r="C5" s="33">
        <v>580</v>
      </c>
    </row>
    <row r="6" spans="2:3" ht="23" customHeight="1" x14ac:dyDescent="0.35">
      <c r="B6" s="33" t="s">
        <v>43</v>
      </c>
      <c r="C6" s="33">
        <v>540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C6" sqref="C6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69" t="s">
        <v>33</v>
      </c>
      <c r="C2" s="69"/>
    </row>
    <row r="3" spans="2:3" ht="17" customHeight="1" x14ac:dyDescent="0.35">
      <c r="B3" s="38" t="s">
        <v>34</v>
      </c>
      <c r="C3" s="39">
        <f>'2023'!P28+'2024'!P28+'2025'!P28</f>
        <v>-2011.3479999999718</v>
      </c>
    </row>
    <row r="4" spans="2:3" ht="17" customHeight="1" x14ac:dyDescent="0.35">
      <c r="B4" s="38" t="s">
        <v>39</v>
      </c>
      <c r="C4" s="40">
        <f>'2023'!P12+'2024'!P12+'2025'!P12</f>
        <v>52</v>
      </c>
    </row>
    <row r="5" spans="2:3" x14ac:dyDescent="0.35">
      <c r="B5" t="s">
        <v>46</v>
      </c>
      <c r="C5">
        <f>(25*2.08)-C4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2025-05-05T16:24:37Z</dcterms:modified>
</cp:coreProperties>
</file>