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STC\Alaaeddinne WERFELLI -23-04\"/>
    </mc:Choice>
  </mc:AlternateContent>
  <bookViews>
    <workbookView xWindow="0" yWindow="0" windowWidth="28770" windowHeight="3960" activeTab="5"/>
  </bookViews>
  <sheets>
    <sheet name="2022" sheetId="14" r:id="rId1"/>
    <sheet name="2023" sheetId="15" r:id="rId2"/>
    <sheet name="2024" sheetId="16" r:id="rId3"/>
    <sheet name="2025" sheetId="17" r:id="rId4"/>
    <sheet name="Params" sheetId="10" r:id="rId5"/>
    <sheet name="Synthése" sheetId="13" r:id="rId6"/>
  </sheets>
  <definedNames>
    <definedName name="AOUT" localSheetId="0">'2022'!$J$3</definedName>
    <definedName name="AOUT" localSheetId="1">'2023'!$J$3</definedName>
    <definedName name="AOUT" localSheetId="2">'2024'!$J$3</definedName>
    <definedName name="AOUT" localSheetId="3">'2025'!$J$3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0">'2022'!$F$3</definedName>
    <definedName name="AVRIL" localSheetId="1">'2023'!$F$3</definedName>
    <definedName name="AVRIL" localSheetId="2">'2024'!$F$3</definedName>
    <definedName name="AVRIL" localSheetId="3">'2025'!$F$3</definedName>
    <definedName name="AVRIL">#REF!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 localSheetId="3">'2025'!$B$14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 localSheetId="3">'2025'!$B$13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 localSheetId="3">'2025'!$B$16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 localSheetId="3">'2025'!$B$18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 localSheetId="3">'2025'!$B$17</definedName>
    <definedName name="ENTREES_FACTURE">#REF!</definedName>
    <definedName name="FEVRIER" localSheetId="0">'2022'!$D$3</definedName>
    <definedName name="FEVRIER" localSheetId="1">'2023'!$D$3</definedName>
    <definedName name="FEVRIER" localSheetId="2">'2024'!$D$3</definedName>
    <definedName name="FEVRIER" localSheetId="3">'2025'!$D$3</definedName>
    <definedName name="FEVRIER">#REF!</definedName>
    <definedName name="JANVIER" localSheetId="0">'2022'!$C$3</definedName>
    <definedName name="JANVIER" localSheetId="1">'2023'!$C$3</definedName>
    <definedName name="JANVIER" localSheetId="2">'2024'!$C$3</definedName>
    <definedName name="JANVIER" localSheetId="3">'2025'!$C$3</definedName>
    <definedName name="JANVIER">#REF!</definedName>
    <definedName name="JUILLET" localSheetId="0">'2022'!$I$3</definedName>
    <definedName name="JUILLET" localSheetId="1">'2023'!$I$3</definedName>
    <definedName name="JUILLET" localSheetId="2">'2024'!$I$3</definedName>
    <definedName name="JUILLET" localSheetId="3">'2025'!$I$3</definedName>
    <definedName name="JUILLET">#REF!</definedName>
    <definedName name="JUIN" localSheetId="0">'2022'!$H$3</definedName>
    <definedName name="JUIN" localSheetId="1">'2023'!$H$3</definedName>
    <definedName name="JUIN" localSheetId="2">'2024'!$H$3</definedName>
    <definedName name="JUIN" localSheetId="3">'2025'!$H$3</definedName>
    <definedName name="JUIN">#REF!</definedName>
    <definedName name="MAI" localSheetId="0">'2022'!$G$3</definedName>
    <definedName name="MAI" localSheetId="1">'2023'!$G$3</definedName>
    <definedName name="MAI" localSheetId="2">'2024'!$G$3</definedName>
    <definedName name="MAI" localSheetId="3">'2025'!$G$3</definedName>
    <definedName name="MAI">#REF!</definedName>
    <definedName name="MARS" localSheetId="0">'2022'!$E$3</definedName>
    <definedName name="MARS" localSheetId="1">'2023'!$E$3</definedName>
    <definedName name="MARS" localSheetId="2">'2024'!$E$3</definedName>
    <definedName name="MARS" localSheetId="3">'2025'!$E$3</definedName>
    <definedName name="MARS">#REF!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0">'2022'!$L$3</definedName>
    <definedName name="OCTOBRE" localSheetId="1">'2023'!$L$3</definedName>
    <definedName name="OCTOBRE" localSheetId="2">'2024'!$L$3</definedName>
    <definedName name="OCTOBRE" localSheetId="3">'2025'!$L$3</definedName>
    <definedName name="OCTOBRE">#REF!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0">'2022'!$K$3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#REF!</definedName>
    <definedName name="SOLDE" localSheetId="0">'2022'!$B$26</definedName>
    <definedName name="SOLDE" localSheetId="1">'2023'!$B$27</definedName>
    <definedName name="SOLDE" localSheetId="2">'2024'!$B$27</definedName>
    <definedName name="SOLDE" localSheetId="3">'2025'!$B$27</definedName>
    <definedName name="SORTIES" localSheetId="0">'2022'!$B$21</definedName>
    <definedName name="SORTIES" localSheetId="1">'2023'!$B$21</definedName>
    <definedName name="SORTIES" localSheetId="2">'2024'!$B$21</definedName>
    <definedName name="SORTIES" localSheetId="3">'2025'!$B$21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 localSheetId="3">'2025'!$B$23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 localSheetId="3">'2025'!$B$22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 localSheetId="3">'2025'!$B$19</definedName>
    <definedName name="TOTAL_ENTREES">#REF!</definedName>
    <definedName name="TOTAL_SORTIES" localSheetId="0">'2022'!$B$24</definedName>
    <definedName name="TOTAL_SORTIES" localSheetId="1">'2023'!$B$25</definedName>
    <definedName name="TOTAL_SORTIES" localSheetId="2">'2024'!$B$25</definedName>
    <definedName name="TOTAL_SORTIES" localSheetId="3">'2025'!$B$25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23" i="17" l="1"/>
  <c r="E23" i="17" l="1"/>
  <c r="F17" i="17" l="1"/>
  <c r="C4" i="13" l="1"/>
  <c r="E17" i="17"/>
  <c r="D23" i="17" l="1"/>
  <c r="D17" i="17"/>
  <c r="D19" i="17" s="1"/>
  <c r="N17" i="16"/>
  <c r="M17" i="16"/>
  <c r="M19" i="16" s="1"/>
  <c r="L25" i="17"/>
  <c r="K25" i="17"/>
  <c r="H25" i="17"/>
  <c r="G25" i="17"/>
  <c r="D25" i="17"/>
  <c r="P24" i="17"/>
  <c r="N25" i="17"/>
  <c r="M25" i="17"/>
  <c r="J25" i="17"/>
  <c r="I25" i="17"/>
  <c r="F25" i="17"/>
  <c r="E25" i="17"/>
  <c r="P22" i="17"/>
  <c r="N19" i="17"/>
  <c r="M19" i="17"/>
  <c r="M27" i="17" s="1"/>
  <c r="L19" i="17"/>
  <c r="L27" i="17" s="1"/>
  <c r="K19" i="17"/>
  <c r="K27" i="17" s="1"/>
  <c r="J19" i="17"/>
  <c r="J27" i="17" s="1"/>
  <c r="I19" i="17"/>
  <c r="H19" i="17"/>
  <c r="H27" i="17" s="1"/>
  <c r="G19" i="17"/>
  <c r="F19" i="17"/>
  <c r="E19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L25" i="16"/>
  <c r="D25" i="16"/>
  <c r="P24" i="16"/>
  <c r="N23" i="16"/>
  <c r="N25" i="16" s="1"/>
  <c r="M23" i="16"/>
  <c r="M25" i="16" s="1"/>
  <c r="L23" i="16"/>
  <c r="K23" i="16"/>
  <c r="K25" i="16" s="1"/>
  <c r="J23" i="16"/>
  <c r="J25" i="16" s="1"/>
  <c r="I23" i="16"/>
  <c r="I25" i="16" s="1"/>
  <c r="H23" i="16"/>
  <c r="H25" i="16" s="1"/>
  <c r="G23" i="16"/>
  <c r="P23" i="16" s="1"/>
  <c r="F23" i="16"/>
  <c r="F25" i="16" s="1"/>
  <c r="E23" i="16"/>
  <c r="E25" i="16" s="1"/>
  <c r="D23" i="16"/>
  <c r="C23" i="16"/>
  <c r="C25" i="16" s="1"/>
  <c r="P22" i="16"/>
  <c r="L17" i="16"/>
  <c r="L19" i="16" s="1"/>
  <c r="K17" i="16"/>
  <c r="K19" i="16" s="1"/>
  <c r="J17" i="16"/>
  <c r="J19" i="16" s="1"/>
  <c r="I17" i="16"/>
  <c r="I19" i="16" s="1"/>
  <c r="H17" i="16"/>
  <c r="H19" i="16" s="1"/>
  <c r="G17" i="16"/>
  <c r="G19" i="16" s="1"/>
  <c r="F17" i="16"/>
  <c r="F19" i="16" s="1"/>
  <c r="E17" i="16"/>
  <c r="E19" i="16" s="1"/>
  <c r="D17" i="16"/>
  <c r="D19" i="16" s="1"/>
  <c r="D27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H25" i="15"/>
  <c r="P24" i="15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I25" i="15" s="1"/>
  <c r="H23" i="15"/>
  <c r="G23" i="15"/>
  <c r="G25" i="15" s="1"/>
  <c r="F23" i="15"/>
  <c r="F25" i="15" s="1"/>
  <c r="E23" i="15"/>
  <c r="D23" i="15"/>
  <c r="D25" i="15" s="1"/>
  <c r="C23" i="15"/>
  <c r="C25" i="15" s="1"/>
  <c r="P22" i="15"/>
  <c r="P18" i="15"/>
  <c r="N17" i="15"/>
  <c r="N19" i="15" s="1"/>
  <c r="M17" i="15"/>
  <c r="M19" i="15" s="1"/>
  <c r="M27" i="15" s="1"/>
  <c r="L17" i="15"/>
  <c r="L19" i="15" s="1"/>
  <c r="K17" i="15"/>
  <c r="K19" i="15" s="1"/>
  <c r="J17" i="15"/>
  <c r="J19" i="15" s="1"/>
  <c r="J27" i="15" s="1"/>
  <c r="I17" i="15"/>
  <c r="I19" i="15" s="1"/>
  <c r="H17" i="15"/>
  <c r="H19" i="15" s="1"/>
  <c r="G17" i="15"/>
  <c r="G19" i="15" s="1"/>
  <c r="F17" i="15"/>
  <c r="F19" i="15" s="1"/>
  <c r="E17" i="15"/>
  <c r="E19" i="15" s="1"/>
  <c r="D17" i="15"/>
  <c r="D1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K24" i="14"/>
  <c r="K26" i="14" s="1"/>
  <c r="J24" i="14"/>
  <c r="I24" i="14"/>
  <c r="H24" i="14"/>
  <c r="G24" i="14"/>
  <c r="F24" i="14"/>
  <c r="E24" i="14"/>
  <c r="D24" i="14"/>
  <c r="C24" i="14"/>
  <c r="C26" i="14" s="1"/>
  <c r="N23" i="14"/>
  <c r="N24" i="14" s="1"/>
  <c r="M23" i="14"/>
  <c r="M24" i="14" s="1"/>
  <c r="L23" i="14"/>
  <c r="P22" i="14"/>
  <c r="L19" i="14"/>
  <c r="K19" i="14"/>
  <c r="J19" i="14"/>
  <c r="J26" i="14" s="1"/>
  <c r="I19" i="14"/>
  <c r="I26" i="14" s="1"/>
  <c r="H19" i="14"/>
  <c r="H26" i="14" s="1"/>
  <c r="G19" i="14"/>
  <c r="F19" i="14"/>
  <c r="E19" i="14"/>
  <c r="D19" i="14"/>
  <c r="C19" i="14"/>
  <c r="N17" i="14"/>
  <c r="N19" i="14" s="1"/>
  <c r="M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L27" i="15" l="1"/>
  <c r="N26" i="14"/>
  <c r="N27" i="15"/>
  <c r="P8" i="15"/>
  <c r="P23" i="14"/>
  <c r="P8" i="14"/>
  <c r="G27" i="15"/>
  <c r="E26" i="14"/>
  <c r="G26" i="14"/>
  <c r="H27" i="16"/>
  <c r="I27" i="16"/>
  <c r="F27" i="17"/>
  <c r="P23" i="15"/>
  <c r="P8" i="16"/>
  <c r="D26" i="14"/>
  <c r="F26" i="14"/>
  <c r="H27" i="15"/>
  <c r="L27" i="16"/>
  <c r="G27" i="17"/>
  <c r="D27" i="15"/>
  <c r="F27" i="15"/>
  <c r="I27" i="15"/>
  <c r="P17" i="16"/>
  <c r="P17" i="15"/>
  <c r="N19" i="16"/>
  <c r="P19" i="16" s="1"/>
  <c r="N27" i="17"/>
  <c r="E27" i="17"/>
  <c r="P8" i="17"/>
  <c r="D27" i="17"/>
  <c r="I27" i="17"/>
  <c r="E27" i="16"/>
  <c r="P19" i="15"/>
  <c r="F27" i="16"/>
  <c r="L26" i="14"/>
  <c r="J27" i="16"/>
  <c r="M27" i="16"/>
  <c r="K27" i="15"/>
  <c r="C27" i="16"/>
  <c r="K27" i="16"/>
  <c r="L24" i="14"/>
  <c r="E25" i="15"/>
  <c r="P25" i="15" s="1"/>
  <c r="G25" i="16"/>
  <c r="P25" i="16" s="1"/>
  <c r="M19" i="14"/>
  <c r="M26" i="14" s="1"/>
  <c r="C27" i="15"/>
  <c r="P24" i="14"/>
  <c r="E27" i="15" l="1"/>
  <c r="P27" i="15" s="1"/>
  <c r="P26" i="14"/>
  <c r="N27" i="16"/>
  <c r="G27" i="16"/>
  <c r="P27" i="16" s="1"/>
  <c r="P19" i="14"/>
  <c r="C23" i="17" l="1"/>
  <c r="C17" i="17"/>
  <c r="C19" i="17" l="1"/>
  <c r="P17" i="17"/>
  <c r="C25" i="17"/>
  <c r="P25" i="17" s="1"/>
  <c r="P23" i="17"/>
  <c r="C27" i="17" l="1"/>
  <c r="P27" i="17" s="1"/>
  <c r="C3" i="13" s="1"/>
  <c r="P19" i="17"/>
</calcChain>
</file>

<file path=xl/comments1.xml><?xml version="1.0" encoding="utf-8"?>
<comments xmlns="http://schemas.openxmlformats.org/spreadsheetml/2006/main">
  <authors>
    <author>PC-HOUDA</author>
  </authors>
  <commentList>
    <comment ref="K18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4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la cagnotte </t>
        </r>
      </text>
    </comment>
  </commentList>
</comments>
</file>

<file path=xl/sharedStrings.xml><?xml version="1.0" encoding="utf-8"?>
<sst xmlns="http://schemas.openxmlformats.org/spreadsheetml/2006/main" count="145" uniqueCount="43">
  <si>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</si>
  <si>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</si>
  <si>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</si>
  <si>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</si>
  <si>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</si>
  <si>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</si>
  <si>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</si>
  <si>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</si>
  <si>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</si>
  <si>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</si>
  <si>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</si>
  <si>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</si>
  <si>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</si>
  <si>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</si>
  <si>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</si>
  <si>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</si>
  <si>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</si>
  <si>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</si>
  <si>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</si>
  <si>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</si>
  <si>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</si>
  <si>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</si>
  <si>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</si>
  <si>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</si>
  <si>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</si>
  <si>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</si>
  <si>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</si>
  <si>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</si>
  <si>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</si>
  <si>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</si>
  <si>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</si>
  <si>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</si>
  <si>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</si>
  <si>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</si>
  <si>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</si>
  <si>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</si>
  <si>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</si>
  <si>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</si>
  <si>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(Octobre 2022)</t>
  </si>
  <si>
    <t xml:space="preserve">Achat </t>
  </si>
  <si>
    <t>TJM (Octobre 2023)</t>
  </si>
  <si>
    <t>Achat HT</t>
  </si>
  <si>
    <t>TJM (Novembre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</si>
</sst>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10" xfId="0" applyNumberFormat="1" applyFont="1" applyFill="1" applyBorder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3" xfId="0" applyFill="1" applyBorder="1"/>
    <xf numFmtId="1" fontId="4" fillId="4" borderId="5" xfId="0" applyNumberFormat="1" applyFont="1" applyFill="1" applyBorder="1"/>
    <xf numFmtId="0" fontId="0" fillId="7" borderId="3" xfId="0" applyFill="1" applyBorder="1"/>
    <xf numFmtId="0" fontId="0" fillId="2" borderId="3" xfId="0" applyFill="1" applyBorder="1"/>
    <xf numFmtId="4" fontId="0" fillId="3" borderId="3" xfId="0" applyNumberForma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13" workbookViewId="0">
      <selection activeCell="L17" sqref="L1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45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45">
      <c r="B6" s="8" t="s">
        <v>19</v>
      </c>
      <c r="C6" s="57"/>
      <c r="D6" s="57"/>
      <c r="E6" s="57"/>
      <c r="F6" s="33"/>
      <c r="G6" s="33"/>
      <c r="H6" s="33"/>
      <c r="I6" s="33"/>
      <c r="J6" s="33"/>
      <c r="K6" s="33"/>
      <c r="L6" s="33">
        <v>1</v>
      </c>
      <c r="M6" s="33">
        <v>19</v>
      </c>
      <c r="N6" s="33">
        <v>19</v>
      </c>
      <c r="O6" s="31"/>
      <c r="P6" s="53">
        <f>SUM(C6:N6)</f>
        <v>39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>
        <v>16</v>
      </c>
      <c r="N7" s="33">
        <v>22</v>
      </c>
      <c r="O7" s="31"/>
      <c r="P7" s="53">
        <f>SUM(C7:N7)</f>
        <v>38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-1</v>
      </c>
      <c r="M8" s="32">
        <f t="shared" si="0"/>
        <v>-3</v>
      </c>
      <c r="N8" s="32">
        <f t="shared" si="0"/>
        <v>3</v>
      </c>
      <c r="O8" s="31"/>
      <c r="P8" s="53">
        <f>SUM(C8:N8)</f>
        <v>-1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45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v>16</v>
      </c>
      <c r="N11" s="10">
        <v>22</v>
      </c>
      <c r="P11" s="54">
        <f>SUM(C11:N11)</f>
        <v>38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>
        <v>1</v>
      </c>
      <c r="M12" s="11">
        <v>4</v>
      </c>
      <c r="N12" s="11"/>
      <c r="P12" s="54">
        <f>SUM(C12:N12)</f>
        <v>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4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f>M11*Params!$C$6*(1-Params!$C$3)-Params!$C$5</f>
        <v>8168.2000000000007</v>
      </c>
      <c r="N17" s="9">
        <f>N11*Params!$C$6*(1-Params!$C$3)-Params!$C$5</f>
        <v>11259.4</v>
      </c>
      <c r="O17" s="4"/>
      <c r="P17" s="37">
        <f>SUM(C17:N17)</f>
        <v>19427.599999999999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50"/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8168.2000000000007</v>
      </c>
      <c r="N19" s="25">
        <f t="shared" si="1"/>
        <v>11259.4</v>
      </c>
      <c r="O19" s="5"/>
      <c r="P19" s="38">
        <f>SUM(C19:O19)</f>
        <v>19427.599999999999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>
        <v>363.03</v>
      </c>
      <c r="M22" s="9">
        <v>6205.44</v>
      </c>
      <c r="N22" s="9">
        <v>6205.44</v>
      </c>
      <c r="O22" s="4"/>
      <c r="P22" s="39">
        <f>SUM(C22:N22)</f>
        <v>12773.91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>
        <f>51.97+106.75</f>
        <v>158.72</v>
      </c>
      <c r="M23" s="9">
        <f>1171.69+2346.99</f>
        <v>3518.68</v>
      </c>
      <c r="N23" s="9">
        <f>1171.69+2354.88</f>
        <v>3526.57</v>
      </c>
      <c r="O23" s="4"/>
      <c r="P23" s="39">
        <f>SUM(C23:N23)</f>
        <v>7203.9699999999993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521.75</v>
      </c>
      <c r="M24" s="40">
        <f t="shared" si="2"/>
        <v>9724.119999999999</v>
      </c>
      <c r="N24" s="40">
        <f t="shared" si="2"/>
        <v>9732.01</v>
      </c>
      <c r="O24" s="4"/>
      <c r="P24" s="41">
        <f>SUM(C24:N24)</f>
        <v>19977.879999999997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-521.75</v>
      </c>
      <c r="M26" s="44">
        <f t="shared" si="3"/>
        <v>-1555.9199999999983</v>
      </c>
      <c r="N26" s="44">
        <f t="shared" si="3"/>
        <v>1527.3899999999994</v>
      </c>
      <c r="P26" s="55">
        <f>SUM(C26:O26)</f>
        <v>-550.27999999999884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27"/>
  <sheetViews>
    <sheetView topLeftCell="A13" workbookViewId="0">
      <selection activeCell="C25" sqref="C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45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45">
      <c r="B6" s="8" t="s">
        <v>19</v>
      </c>
      <c r="C6" s="57">
        <v>19</v>
      </c>
      <c r="D6" s="57">
        <v>19</v>
      </c>
      <c r="E6" s="57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3">
        <f>SUM(C6:N6)</f>
        <v>228</v>
      </c>
    </row>
    <row r="7" spans="2:16" x14ac:dyDescent="0.45">
      <c r="B7" s="8" t="s">
        <v>20</v>
      </c>
      <c r="C7" s="33">
        <v>22</v>
      </c>
      <c r="D7" s="33">
        <v>15</v>
      </c>
      <c r="E7" s="33">
        <v>23</v>
      </c>
      <c r="F7" s="33">
        <v>19</v>
      </c>
      <c r="G7" s="33">
        <v>19</v>
      </c>
      <c r="H7" s="33">
        <v>17</v>
      </c>
      <c r="I7" s="33">
        <v>20</v>
      </c>
      <c r="J7" s="33">
        <v>22</v>
      </c>
      <c r="K7" s="33">
        <v>21</v>
      </c>
      <c r="L7" s="33">
        <v>22</v>
      </c>
      <c r="M7" s="33">
        <v>18</v>
      </c>
      <c r="N7" s="33">
        <v>10</v>
      </c>
      <c r="O7" s="31"/>
      <c r="P7" s="53">
        <f>SUM(C7:N7)</f>
        <v>228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-4</v>
      </c>
      <c r="E8" s="32">
        <f t="shared" si="0"/>
        <v>4</v>
      </c>
      <c r="F8" s="32">
        <f t="shared" si="0"/>
        <v>0</v>
      </c>
      <c r="G8" s="32">
        <f t="shared" si="0"/>
        <v>0</v>
      </c>
      <c r="H8" s="32">
        <f t="shared" si="0"/>
        <v>-2</v>
      </c>
      <c r="I8" s="32">
        <f t="shared" si="0"/>
        <v>1</v>
      </c>
      <c r="J8" s="32">
        <f t="shared" si="0"/>
        <v>3</v>
      </c>
      <c r="K8" s="32">
        <f t="shared" si="0"/>
        <v>2</v>
      </c>
      <c r="L8" s="32">
        <f t="shared" si="0"/>
        <v>3</v>
      </c>
      <c r="M8" s="32">
        <f t="shared" si="0"/>
        <v>-1</v>
      </c>
      <c r="N8" s="32">
        <f t="shared" si="0"/>
        <v>-9</v>
      </c>
      <c r="O8" s="31"/>
      <c r="P8" s="53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45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45">
      <c r="B11" s="8" t="s">
        <v>13</v>
      </c>
      <c r="C11" s="10">
        <v>22</v>
      </c>
      <c r="D11" s="10">
        <v>15</v>
      </c>
      <c r="E11" s="10">
        <v>23</v>
      </c>
      <c r="F11" s="10">
        <v>19</v>
      </c>
      <c r="G11" s="10">
        <v>19</v>
      </c>
      <c r="H11" s="10">
        <v>17</v>
      </c>
      <c r="I11" s="10">
        <v>20</v>
      </c>
      <c r="J11" s="10">
        <v>22</v>
      </c>
      <c r="K11" s="10">
        <v>21</v>
      </c>
      <c r="L11" s="10">
        <v>22</v>
      </c>
      <c r="M11" s="10">
        <v>18</v>
      </c>
      <c r="N11" s="10">
        <v>10</v>
      </c>
      <c r="P11" s="54">
        <f>SUM(C11:N11)</f>
        <v>228</v>
      </c>
    </row>
    <row r="12" spans="2:16" x14ac:dyDescent="0.45">
      <c r="B12" s="8" t="s">
        <v>15</v>
      </c>
      <c r="C12" s="11"/>
      <c r="D12" s="11">
        <v>5</v>
      </c>
      <c r="E12" s="11"/>
      <c r="F12" s="11"/>
      <c r="G12" s="11"/>
      <c r="H12" s="11">
        <v>5</v>
      </c>
      <c r="I12" s="11"/>
      <c r="J12" s="11"/>
      <c r="K12" s="11"/>
      <c r="L12" s="11"/>
      <c r="M12" s="11">
        <v>3</v>
      </c>
      <c r="N12" s="11">
        <v>10</v>
      </c>
      <c r="P12" s="54">
        <f>SUM(C12:N12)</f>
        <v>23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>
        <v>9</v>
      </c>
      <c r="L14" s="20"/>
      <c r="M14" s="20"/>
      <c r="N14" s="20"/>
      <c r="P14" s="54">
        <f>SUM(C14:N14)</f>
        <v>9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45">
      <c r="B17" s="8" t="s">
        <v>6</v>
      </c>
      <c r="C17" s="9">
        <f>C11*Params!$C$6*(1-Params!$C$3)-Params!$C$5</f>
        <v>11259.4</v>
      </c>
      <c r="D17" s="9">
        <f>D11*Params!$C$6*(1-Params!$C$3)-Params!$C$5</f>
        <v>7653</v>
      </c>
      <c r="E17" s="9">
        <f>E11*Params!$C$6*(1-Params!$C$3)-Params!$C$5</f>
        <v>11774.6</v>
      </c>
      <c r="F17" s="9">
        <f>F11*Params!$C$6*(1-Params!$C$3)-Params!$C$5</f>
        <v>9713.8000000000011</v>
      </c>
      <c r="G17" s="9">
        <f>G11*Params!$C$6*(1-Params!$C$3)-Params!$C$5</f>
        <v>9713.8000000000011</v>
      </c>
      <c r="H17" s="9">
        <f>H11*Params!$C$6*(1-Params!$C$3)-Params!$C$5</f>
        <v>8683.4</v>
      </c>
      <c r="I17" s="9">
        <f>I11*Params!$C$6*(1-Params!$C$3)-Params!$C$5</f>
        <v>10229</v>
      </c>
      <c r="J17" s="9">
        <f>J11*Params!$C$6*(1-Params!$C$3)-Params!$C$5</f>
        <v>11259.4</v>
      </c>
      <c r="K17" s="9">
        <f>K11*Params!$C$6*(1-Params!$C$3)-Params!$C$5</f>
        <v>10744.2</v>
      </c>
      <c r="L17" s="9">
        <f>L11*Params!$C$7*(1-Params!$C$3)-Params!$C$5</f>
        <v>11664.2</v>
      </c>
      <c r="M17" s="9">
        <f>M11*Params!$C$7*(1-Params!$C$3)-Params!$C$5</f>
        <v>9529.8000000000011</v>
      </c>
      <c r="N17" s="9">
        <f>N11*Params!$C$7*(1-Params!$C$3)-Params!$C$5</f>
        <v>5261</v>
      </c>
      <c r="O17" s="4"/>
      <c r="P17" s="37">
        <f>SUM(C17:N17)</f>
        <v>117485.59999999999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>
        <v>976</v>
      </c>
      <c r="L18" s="9"/>
      <c r="M18" s="9"/>
      <c r="N18" s="9"/>
      <c r="O18" s="4"/>
      <c r="P18" s="37">
        <f t="shared" ref="P18" si="1">SUM(C18:N18)</f>
        <v>976</v>
      </c>
    </row>
    <row r="19" spans="2:16" x14ac:dyDescent="0.45">
      <c r="B19" s="24" t="s">
        <v>2</v>
      </c>
      <c r="C19" s="25">
        <f t="shared" ref="C19:N19" si="2">SUM(C17:C18)</f>
        <v>11259.4</v>
      </c>
      <c r="D19" s="25">
        <f t="shared" si="2"/>
        <v>7653</v>
      </c>
      <c r="E19" s="25">
        <f t="shared" si="2"/>
        <v>11774.6</v>
      </c>
      <c r="F19" s="25">
        <f t="shared" si="2"/>
        <v>9713.8000000000011</v>
      </c>
      <c r="G19" s="25">
        <f t="shared" si="2"/>
        <v>9713.8000000000011</v>
      </c>
      <c r="H19" s="25">
        <f t="shared" si="2"/>
        <v>8683.4</v>
      </c>
      <c r="I19" s="25">
        <f t="shared" si="2"/>
        <v>10229</v>
      </c>
      <c r="J19" s="25">
        <f t="shared" si="2"/>
        <v>11259.4</v>
      </c>
      <c r="K19" s="25">
        <f t="shared" si="2"/>
        <v>11720.2</v>
      </c>
      <c r="L19" s="25">
        <f t="shared" si="2"/>
        <v>11664.2</v>
      </c>
      <c r="M19" s="25">
        <f t="shared" si="2"/>
        <v>9529.8000000000011</v>
      </c>
      <c r="N19" s="25">
        <f t="shared" si="2"/>
        <v>5261</v>
      </c>
      <c r="O19" s="5"/>
      <c r="P19" s="38">
        <f>SUM(C19:N19)</f>
        <v>118461.59999999999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45">
      <c r="B22" s="8" t="s">
        <v>7</v>
      </c>
      <c r="C22" s="9">
        <v>6209.39</v>
      </c>
      <c r="D22" s="9">
        <v>6209.39</v>
      </c>
      <c r="E22" s="9">
        <v>6209.39</v>
      </c>
      <c r="F22" s="9">
        <v>6209.39</v>
      </c>
      <c r="G22" s="9">
        <v>6209.39</v>
      </c>
      <c r="H22" s="9">
        <v>6209.39</v>
      </c>
      <c r="I22" s="9">
        <v>6277.04</v>
      </c>
      <c r="J22" s="9">
        <v>6209.39</v>
      </c>
      <c r="K22" s="9">
        <v>6209.39</v>
      </c>
      <c r="L22" s="9">
        <v>6209.39</v>
      </c>
      <c r="M22" s="9">
        <v>6209.39</v>
      </c>
      <c r="N22" s="9">
        <v>11637.57</v>
      </c>
      <c r="O22" s="4"/>
      <c r="P22" s="39">
        <f>SUM(C22:N22)</f>
        <v>80008.510000000009</v>
      </c>
    </row>
    <row r="23" spans="2:16" x14ac:dyDescent="0.45">
      <c r="B23" s="8" t="s">
        <v>8</v>
      </c>
      <c r="C23" s="9">
        <f>1176.65+2346.79</f>
        <v>3523.44</v>
      </c>
      <c r="D23" s="9">
        <f>1176.65+2346.79</f>
        <v>3523.44</v>
      </c>
      <c r="E23" s="9">
        <f>1176.65+2359.93</f>
        <v>3536.58</v>
      </c>
      <c r="F23" s="9">
        <f>1176.65+2346.79</f>
        <v>3523.44</v>
      </c>
      <c r="G23" s="9">
        <f>1176.65+2349.67</f>
        <v>3526.32</v>
      </c>
      <c r="H23" s="9">
        <f>1176.65+2348.23</f>
        <v>3524.88</v>
      </c>
      <c r="I23" s="9">
        <f>1191.9+2389.58</f>
        <v>3581.48</v>
      </c>
      <c r="J23" s="9">
        <f>1176.65+2348.23</f>
        <v>3524.88</v>
      </c>
      <c r="K23" s="9">
        <f>1176.65+2348.23</f>
        <v>3524.88</v>
      </c>
      <c r="L23" s="9">
        <f>1176.65+2348.23</f>
        <v>3524.88</v>
      </c>
      <c r="M23" s="9">
        <f>1176.65+2348.23</f>
        <v>3524.88</v>
      </c>
      <c r="N23" s="9">
        <f>1748.47+2356.12</f>
        <v>4104.59</v>
      </c>
      <c r="O23" s="4"/>
      <c r="P23" s="39">
        <f>SUM(C23:N23)</f>
        <v>42943.69</v>
      </c>
    </row>
    <row r="24" spans="2:16" x14ac:dyDescent="0.45">
      <c r="B24" s="61" t="s">
        <v>39</v>
      </c>
      <c r="C24" s="62">
        <v>1000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4"/>
      <c r="P24" s="39">
        <f>SUM(C24:N24)</f>
        <v>1000</v>
      </c>
    </row>
    <row r="25" spans="2:16" x14ac:dyDescent="0.45">
      <c r="B25" s="7" t="s">
        <v>3</v>
      </c>
      <c r="C25" s="40">
        <f t="shared" ref="C25:N25" si="3">SUM(C22:C24)</f>
        <v>10732.83</v>
      </c>
      <c r="D25" s="40">
        <f t="shared" si="3"/>
        <v>9732.83</v>
      </c>
      <c r="E25" s="40">
        <f t="shared" si="3"/>
        <v>9745.9700000000012</v>
      </c>
      <c r="F25" s="40">
        <f t="shared" si="3"/>
        <v>9732.83</v>
      </c>
      <c r="G25" s="40">
        <f t="shared" si="3"/>
        <v>9735.7100000000009</v>
      </c>
      <c r="H25" s="40">
        <f t="shared" si="3"/>
        <v>9734.27</v>
      </c>
      <c r="I25" s="40">
        <f t="shared" si="3"/>
        <v>9858.52</v>
      </c>
      <c r="J25" s="40">
        <f t="shared" si="3"/>
        <v>9734.27</v>
      </c>
      <c r="K25" s="40">
        <f t="shared" si="3"/>
        <v>9734.27</v>
      </c>
      <c r="L25" s="40">
        <f t="shared" si="3"/>
        <v>9734.27</v>
      </c>
      <c r="M25" s="40">
        <f t="shared" si="3"/>
        <v>9734.27</v>
      </c>
      <c r="N25" s="40">
        <f t="shared" si="3"/>
        <v>15742.16</v>
      </c>
      <c r="O25" s="4"/>
      <c r="P25" s="41">
        <f>SUM(C25:N25)</f>
        <v>123952.20000000003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4">C19-C25</f>
        <v>526.56999999999971</v>
      </c>
      <c r="D27" s="44">
        <f t="shared" si="4"/>
        <v>-2079.83</v>
      </c>
      <c r="E27" s="44">
        <f t="shared" si="4"/>
        <v>2028.6299999999992</v>
      </c>
      <c r="F27" s="44">
        <f t="shared" si="4"/>
        <v>-19.029999999998836</v>
      </c>
      <c r="G27" s="44">
        <f t="shared" si="4"/>
        <v>-21.909999999999854</v>
      </c>
      <c r="H27" s="44">
        <f t="shared" si="4"/>
        <v>-1050.8700000000008</v>
      </c>
      <c r="I27" s="44">
        <f t="shared" si="4"/>
        <v>370.47999999999956</v>
      </c>
      <c r="J27" s="44">
        <f t="shared" si="4"/>
        <v>1525.1299999999992</v>
      </c>
      <c r="K27" s="44">
        <f t="shared" si="4"/>
        <v>1985.9300000000003</v>
      </c>
      <c r="L27" s="44">
        <f t="shared" si="4"/>
        <v>1929.9300000000003</v>
      </c>
      <c r="M27" s="44">
        <f t="shared" si="4"/>
        <v>-204.46999999999935</v>
      </c>
      <c r="N27" s="44">
        <f t="shared" si="4"/>
        <v>-10481.16</v>
      </c>
      <c r="P27" s="55">
        <f>SUM(C27:N27)</f>
        <v>-5490.6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3" 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workbookViewId="0">
      <selection activeCell="I25" sqref="I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45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45">
      <c r="B6" s="8" t="s">
        <v>19</v>
      </c>
      <c r="C6" s="57">
        <v>19</v>
      </c>
      <c r="D6" s="57">
        <v>19</v>
      </c>
      <c r="E6" s="57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3">
        <f>SUM(C6:N6)</f>
        <v>228</v>
      </c>
    </row>
    <row r="7" spans="2:16" x14ac:dyDescent="0.45">
      <c r="B7" s="8" t="s">
        <v>20</v>
      </c>
      <c r="C7" s="33">
        <v>22</v>
      </c>
      <c r="D7" s="33">
        <v>21</v>
      </c>
      <c r="E7" s="33">
        <v>21</v>
      </c>
      <c r="F7" s="33">
        <v>21</v>
      </c>
      <c r="G7" s="33">
        <v>16</v>
      </c>
      <c r="H7" s="33">
        <v>11</v>
      </c>
      <c r="I7" s="33">
        <v>23</v>
      </c>
      <c r="J7" s="33">
        <v>21</v>
      </c>
      <c r="K7" s="33">
        <v>21</v>
      </c>
      <c r="L7" s="33">
        <v>16</v>
      </c>
      <c r="M7" s="33">
        <v>19</v>
      </c>
      <c r="N7" s="33">
        <v>14</v>
      </c>
      <c r="O7" s="31"/>
      <c r="P7" s="53">
        <f>SUM(C7:N7)</f>
        <v>226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2</v>
      </c>
      <c r="F8" s="32">
        <f t="shared" si="0"/>
        <v>2</v>
      </c>
      <c r="G8" s="32">
        <f t="shared" si="0"/>
        <v>-3</v>
      </c>
      <c r="H8" s="32">
        <f t="shared" si="0"/>
        <v>-8</v>
      </c>
      <c r="I8" s="32">
        <f t="shared" si="0"/>
        <v>4</v>
      </c>
      <c r="J8" s="32">
        <f t="shared" si="0"/>
        <v>2</v>
      </c>
      <c r="K8" s="32">
        <f t="shared" si="0"/>
        <v>2</v>
      </c>
      <c r="L8" s="32">
        <f t="shared" si="0"/>
        <v>-3</v>
      </c>
      <c r="M8" s="32">
        <f t="shared" si="0"/>
        <v>0</v>
      </c>
      <c r="N8" s="32">
        <f t="shared" si="0"/>
        <v>-5</v>
      </c>
      <c r="O8" s="31"/>
      <c r="P8" s="53">
        <f>SUM(C8:N8)</f>
        <v>-2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45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45">
      <c r="B11" s="8" t="s">
        <v>13</v>
      </c>
      <c r="C11" s="10">
        <v>22</v>
      </c>
      <c r="D11" s="10">
        <v>21</v>
      </c>
      <c r="E11" s="10">
        <v>21</v>
      </c>
      <c r="F11" s="10">
        <v>21</v>
      </c>
      <c r="G11" s="10">
        <v>16</v>
      </c>
      <c r="H11" s="10">
        <v>11</v>
      </c>
      <c r="I11" s="10">
        <v>23</v>
      </c>
      <c r="J11" s="10">
        <v>21</v>
      </c>
      <c r="K11" s="10">
        <v>21</v>
      </c>
      <c r="L11" s="10">
        <v>15.5</v>
      </c>
      <c r="M11" s="10">
        <v>19</v>
      </c>
      <c r="N11" s="10">
        <v>14</v>
      </c>
      <c r="P11" s="54">
        <f>SUM(C11:N11)</f>
        <v>225.5</v>
      </c>
    </row>
    <row r="12" spans="2:16" x14ac:dyDescent="0.45">
      <c r="B12" s="8" t="s">
        <v>15</v>
      </c>
      <c r="C12" s="11"/>
      <c r="D12" s="11"/>
      <c r="E12" s="11"/>
      <c r="F12" s="11"/>
      <c r="G12" s="11">
        <v>3</v>
      </c>
      <c r="H12" s="11">
        <v>9</v>
      </c>
      <c r="I12" s="11"/>
      <c r="J12" s="11"/>
      <c r="K12" s="11"/>
      <c r="L12" s="11">
        <v>7.5</v>
      </c>
      <c r="M12" s="11"/>
      <c r="N12" s="11">
        <v>7</v>
      </c>
      <c r="P12" s="54">
        <f>SUM(C12:N12)</f>
        <v>26.5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4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45">
      <c r="B17" s="8" t="s">
        <v>6</v>
      </c>
      <c r="C17" s="9">
        <f>C11*Params!$C$7*(1-Params!$C$3)-Params!$C$5</f>
        <v>11664.2</v>
      </c>
      <c r="D17" s="9">
        <f>D11*Params!$C$7*(1-Params!$C$3)-Params!$C$5</f>
        <v>11130.6</v>
      </c>
      <c r="E17" s="9">
        <f>E11*Params!$C$7*(1-Params!$C$3)-Params!$C$5</f>
        <v>11130.6</v>
      </c>
      <c r="F17" s="9">
        <f>F11*Params!$C$7*(1-Params!$C$3)-Params!$C$5</f>
        <v>11130.6</v>
      </c>
      <c r="G17" s="9">
        <f>G11*Params!$C$7*(1-Params!$C$3)-Params!$C$5</f>
        <v>8462.6</v>
      </c>
      <c r="H17" s="9">
        <f>H11*Params!$C$7*(1-Params!$C$3)-Params!$C$5</f>
        <v>5794.6</v>
      </c>
      <c r="I17" s="9">
        <f>I11*Params!$C$7*(1-Params!$C$3)-Params!$C$5</f>
        <v>12197.800000000001</v>
      </c>
      <c r="J17" s="9">
        <f>J11*Params!$C$7*(1-Params!$C$3)-Params!$C$5</f>
        <v>11130.6</v>
      </c>
      <c r="K17" s="9">
        <f>K11*Params!$C$7*(1-Params!$C$3)-Params!$C$5</f>
        <v>11130.6</v>
      </c>
      <c r="L17" s="9">
        <f>L11*Params!$C$7*(1-Params!$C$3)-Params!$C$5</f>
        <v>8195.8000000000011</v>
      </c>
      <c r="M17" s="9">
        <f>M11*Params!$C$8*(1-Params!$C$3)-Params!$C$5</f>
        <v>10587.800000000001</v>
      </c>
      <c r="N17" s="9">
        <f>N11*Params!$C$8*(1-Params!$C$3)-Params!$C$5</f>
        <v>7781.8</v>
      </c>
      <c r="O17" s="4"/>
      <c r="P17" s="37">
        <f>SUM(C17:N17)</f>
        <v>120337.60000000002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50"/>
    </row>
    <row r="19" spans="2:16" x14ac:dyDescent="0.45">
      <c r="B19" s="24" t="s">
        <v>2</v>
      </c>
      <c r="C19" s="25">
        <f t="shared" ref="C19:N19" si="1">SUM(C17:C18)</f>
        <v>11664.2</v>
      </c>
      <c r="D19" s="25">
        <f t="shared" si="1"/>
        <v>11130.6</v>
      </c>
      <c r="E19" s="25">
        <f t="shared" si="1"/>
        <v>11130.6</v>
      </c>
      <c r="F19" s="25">
        <f t="shared" si="1"/>
        <v>11130.6</v>
      </c>
      <c r="G19" s="25">
        <f t="shared" si="1"/>
        <v>8462.6</v>
      </c>
      <c r="H19" s="25">
        <f t="shared" si="1"/>
        <v>5794.6</v>
      </c>
      <c r="I19" s="25">
        <f t="shared" si="1"/>
        <v>12197.800000000001</v>
      </c>
      <c r="J19" s="25">
        <f t="shared" si="1"/>
        <v>11130.6</v>
      </c>
      <c r="K19" s="25">
        <f t="shared" si="1"/>
        <v>11130.6</v>
      </c>
      <c r="L19" s="25">
        <f t="shared" si="1"/>
        <v>8195.8000000000011</v>
      </c>
      <c r="M19" s="25">
        <f t="shared" si="1"/>
        <v>10587.800000000001</v>
      </c>
      <c r="N19" s="25">
        <f t="shared" si="1"/>
        <v>7781.8</v>
      </c>
      <c r="O19" s="5"/>
      <c r="P19" s="38">
        <f>SUM(C19:O19)</f>
        <v>120337.60000000002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45">
      <c r="B22" s="8" t="s">
        <v>7</v>
      </c>
      <c r="C22" s="9">
        <v>6202.71</v>
      </c>
      <c r="D22" s="9">
        <v>6202.71</v>
      </c>
      <c r="E22" s="9">
        <v>6202.71</v>
      </c>
      <c r="F22" s="9">
        <v>6202.71</v>
      </c>
      <c r="G22" s="9">
        <v>6202.71</v>
      </c>
      <c r="H22" s="9">
        <v>6202.71</v>
      </c>
      <c r="I22" s="9">
        <v>6202.71</v>
      </c>
      <c r="J22" s="9">
        <v>6202.71</v>
      </c>
      <c r="K22" s="9">
        <v>6202.71</v>
      </c>
      <c r="L22" s="9">
        <v>6202.71</v>
      </c>
      <c r="M22" s="9">
        <v>6461.89</v>
      </c>
      <c r="N22" s="9">
        <v>6202.71</v>
      </c>
      <c r="O22" s="4"/>
      <c r="P22" s="39">
        <f>SUM(C22:N22)</f>
        <v>74691.700000000012</v>
      </c>
    </row>
    <row r="23" spans="2:16" x14ac:dyDescent="0.45">
      <c r="B23" s="8" t="s">
        <v>8</v>
      </c>
      <c r="C23" s="9">
        <f>1190.18+2391.76</f>
        <v>3581.9400000000005</v>
      </c>
      <c r="D23" s="9">
        <f>1190.18+2365.45</f>
        <v>3555.63</v>
      </c>
      <c r="E23" s="9">
        <f>1190.18+2365.45</f>
        <v>3555.63</v>
      </c>
      <c r="F23" s="9">
        <f>1190.18+2365.45</f>
        <v>3555.63</v>
      </c>
      <c r="G23" s="9">
        <f>1190.18+2391.35</f>
        <v>3581.5299999999997</v>
      </c>
      <c r="H23" s="9">
        <f>1190.18+2391.35</f>
        <v>3581.5299999999997</v>
      </c>
      <c r="I23" s="9">
        <f>1190.18+2417.9</f>
        <v>3608.08</v>
      </c>
      <c r="J23" s="9">
        <f>1190.18+2394.23</f>
        <v>3584.41</v>
      </c>
      <c r="K23" s="9">
        <f>1190.18+2394.23</f>
        <v>3584.41</v>
      </c>
      <c r="L23" s="9">
        <f>1190.18+2394.23</f>
        <v>3584.41</v>
      </c>
      <c r="M23" s="9">
        <f>1248.59+2523.63</f>
        <v>3772.2200000000003</v>
      </c>
      <c r="N23" s="9">
        <f>1190.18+2394.23</f>
        <v>3584.41</v>
      </c>
      <c r="O23" s="4"/>
      <c r="P23" s="39">
        <f>SUM(C23:N23)</f>
        <v>43129.83</v>
      </c>
    </row>
    <row r="24" spans="2:16" x14ac:dyDescent="0.45">
      <c r="B24" s="61" t="s">
        <v>41</v>
      </c>
      <c r="C24" s="62"/>
      <c r="D24" s="62"/>
      <c r="E24" s="62"/>
      <c r="F24" s="62"/>
      <c r="G24" s="62"/>
      <c r="H24" s="62"/>
      <c r="I24" s="62">
        <v>1140.8</v>
      </c>
      <c r="J24" s="62"/>
      <c r="K24" s="62"/>
      <c r="L24" s="62"/>
      <c r="M24" s="62"/>
      <c r="N24" s="62"/>
      <c r="O24" s="4"/>
      <c r="P24" s="39">
        <f>SUM(C24:N24)</f>
        <v>1140.8</v>
      </c>
    </row>
    <row r="25" spans="2:16" x14ac:dyDescent="0.45">
      <c r="B25" s="7" t="s">
        <v>3</v>
      </c>
      <c r="C25" s="40">
        <f t="shared" ref="C25:N25" si="2">SUM(C22:C24)</f>
        <v>9784.6500000000015</v>
      </c>
      <c r="D25" s="40">
        <f t="shared" si="2"/>
        <v>9758.34</v>
      </c>
      <c r="E25" s="40">
        <f t="shared" si="2"/>
        <v>9758.34</v>
      </c>
      <c r="F25" s="40">
        <f t="shared" si="2"/>
        <v>9758.34</v>
      </c>
      <c r="G25" s="40">
        <f t="shared" si="2"/>
        <v>9784.24</v>
      </c>
      <c r="H25" s="40">
        <f t="shared" si="2"/>
        <v>9784.24</v>
      </c>
      <c r="I25" s="40">
        <f t="shared" si="2"/>
        <v>10951.59</v>
      </c>
      <c r="J25" s="40">
        <f t="shared" si="2"/>
        <v>9787.119999999999</v>
      </c>
      <c r="K25" s="40">
        <f t="shared" si="2"/>
        <v>9787.119999999999</v>
      </c>
      <c r="L25" s="40">
        <f t="shared" si="2"/>
        <v>9787.119999999999</v>
      </c>
      <c r="M25" s="40">
        <f t="shared" si="2"/>
        <v>10234.11</v>
      </c>
      <c r="N25" s="40">
        <f t="shared" si="2"/>
        <v>9787.119999999999</v>
      </c>
      <c r="O25" s="4"/>
      <c r="P25" s="41">
        <f>SUM(C25:N25)</f>
        <v>118962.32999999997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1879.5499999999993</v>
      </c>
      <c r="D27" s="44">
        <f t="shared" si="3"/>
        <v>1372.2600000000002</v>
      </c>
      <c r="E27" s="44">
        <f t="shared" si="3"/>
        <v>1372.2600000000002</v>
      </c>
      <c r="F27" s="44">
        <f t="shared" si="3"/>
        <v>1372.2600000000002</v>
      </c>
      <c r="G27" s="44">
        <f t="shared" si="3"/>
        <v>-1321.6399999999994</v>
      </c>
      <c r="H27" s="44">
        <f t="shared" si="3"/>
        <v>-3989.6399999999994</v>
      </c>
      <c r="I27" s="44">
        <f t="shared" si="3"/>
        <v>1246.2100000000009</v>
      </c>
      <c r="J27" s="44">
        <f t="shared" si="3"/>
        <v>1343.4800000000014</v>
      </c>
      <c r="K27" s="44">
        <f t="shared" si="3"/>
        <v>1343.4800000000014</v>
      </c>
      <c r="L27" s="44">
        <f t="shared" si="3"/>
        <v>-1591.3199999999979</v>
      </c>
      <c r="M27" s="44">
        <f t="shared" si="3"/>
        <v>353.69000000000051</v>
      </c>
      <c r="N27" s="44">
        <f t="shared" si="3"/>
        <v>-2005.3199999999988</v>
      </c>
      <c r="P27" s="55">
        <f>SUM(C27:O27)</f>
        <v>1375.2700000000086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opLeftCell="B1" workbookViewId="0">
      <selection activeCell="E23" sqref="E2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45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45">
      <c r="B6" s="8" t="s">
        <v>19</v>
      </c>
      <c r="C6" s="57">
        <v>19</v>
      </c>
      <c r="D6" s="57">
        <v>19</v>
      </c>
      <c r="E6" s="57">
        <v>19</v>
      </c>
      <c r="F6" s="33">
        <v>16</v>
      </c>
      <c r="G6" s="33"/>
      <c r="H6" s="33"/>
      <c r="I6" s="33"/>
      <c r="J6" s="33"/>
      <c r="K6" s="33"/>
      <c r="L6" s="33"/>
      <c r="M6" s="33"/>
      <c r="N6" s="33"/>
      <c r="O6" s="31"/>
      <c r="P6" s="53">
        <f>SUM(C6:N6)</f>
        <v>73</v>
      </c>
    </row>
    <row r="7" spans="2:16" x14ac:dyDescent="0.45">
      <c r="B7" s="8" t="s">
        <v>20</v>
      </c>
      <c r="C7" s="33">
        <v>22</v>
      </c>
      <c r="D7" s="33">
        <v>20</v>
      </c>
      <c r="E7" s="33">
        <v>21</v>
      </c>
      <c r="F7" s="33">
        <v>16</v>
      </c>
      <c r="G7" s="33"/>
      <c r="H7" s="33"/>
      <c r="I7" s="33"/>
      <c r="J7" s="33"/>
      <c r="K7" s="33"/>
      <c r="L7" s="33"/>
      <c r="M7" s="33"/>
      <c r="N7" s="33"/>
      <c r="O7" s="31"/>
      <c r="P7" s="53">
        <f>SUM(C7:N7)</f>
        <v>79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2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3">
        <f>SUM(C8:N8)</f>
        <v>6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45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21</v>
      </c>
      <c r="F11" s="10">
        <v>16</v>
      </c>
      <c r="G11" s="10"/>
      <c r="H11" s="10"/>
      <c r="I11" s="10"/>
      <c r="J11" s="10"/>
      <c r="K11" s="10"/>
      <c r="L11" s="10"/>
      <c r="M11" s="10"/>
      <c r="N11" s="10"/>
      <c r="P11" s="54">
        <f>SUM(C11:N11)</f>
        <v>79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4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4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45">
      <c r="B17" s="8" t="s">
        <v>6</v>
      </c>
      <c r="C17" s="9">
        <f>C11*Params!$C$8*(1-Params!$C$3)-Params!$C$5</f>
        <v>12271.4</v>
      </c>
      <c r="D17" s="9">
        <f>D11*Params!$C$8*(1-Params!$C$4)</f>
        <v>11346</v>
      </c>
      <c r="E17" s="9">
        <f>E11*Params!$C$8*(1-Params!$C$4)</f>
        <v>11913.3</v>
      </c>
      <c r="F17" s="9">
        <f>F11*Params!$C$8*(1-Params!$C$4)</f>
        <v>9076.7999999999993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44607.5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50"/>
    </row>
    <row r="19" spans="2:16" x14ac:dyDescent="0.45">
      <c r="B19" s="24" t="s">
        <v>2</v>
      </c>
      <c r="C19" s="25">
        <f t="shared" ref="C19:N19" si="1">SUM(C17:C18)</f>
        <v>12271.4</v>
      </c>
      <c r="D19" s="25">
        <f t="shared" si="1"/>
        <v>11346</v>
      </c>
      <c r="E19" s="25">
        <f t="shared" si="1"/>
        <v>11913.3</v>
      </c>
      <c r="F19" s="25">
        <f t="shared" si="1"/>
        <v>9076.7999999999993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44607.5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45">
      <c r="B22" s="8" t="s">
        <v>7</v>
      </c>
      <c r="C22" s="9">
        <v>6203.65</v>
      </c>
      <c r="D22" s="9">
        <v>6826.32</v>
      </c>
      <c r="E22" s="9">
        <v>5156.67</v>
      </c>
      <c r="F22" s="9">
        <v>8305.9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26492.54</v>
      </c>
    </row>
    <row r="23" spans="2:16" x14ac:dyDescent="0.45">
      <c r="B23" s="8" t="s">
        <v>8</v>
      </c>
      <c r="C23" s="9">
        <f>1196.2+2418.99</f>
        <v>3615.1899999999996</v>
      </c>
      <c r="D23" s="9">
        <f>1306.24+2636.37</f>
        <v>3942.6099999999997</v>
      </c>
      <c r="E23" s="9">
        <f>1026.15+2080.65</f>
        <v>3106.8</v>
      </c>
      <c r="F23" s="9">
        <f>926.86+1857.86</f>
        <v>2784.72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13449.319999999998</v>
      </c>
    </row>
    <row r="24" spans="2:16" x14ac:dyDescent="0.45">
      <c r="B24" s="61" t="s">
        <v>41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4"/>
      <c r="P24" s="39">
        <f>SUM(C24:N24)</f>
        <v>0</v>
      </c>
    </row>
    <row r="25" spans="2:16" x14ac:dyDescent="0.45">
      <c r="B25" s="7" t="s">
        <v>3</v>
      </c>
      <c r="C25" s="40">
        <f t="shared" ref="C25:N25" si="2">SUM(C22:C24)</f>
        <v>9818.84</v>
      </c>
      <c r="D25" s="40">
        <f t="shared" si="2"/>
        <v>10768.93</v>
      </c>
      <c r="E25" s="40">
        <f t="shared" si="2"/>
        <v>8263.4700000000012</v>
      </c>
      <c r="F25" s="40">
        <f t="shared" si="2"/>
        <v>11090.619999999999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39941.86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2452.5599999999995</v>
      </c>
      <c r="D27" s="44">
        <f t="shared" si="3"/>
        <v>577.06999999999971</v>
      </c>
      <c r="E27" s="44">
        <f t="shared" si="3"/>
        <v>3649.8299999999981</v>
      </c>
      <c r="F27" s="44">
        <f t="shared" si="3"/>
        <v>-2013.8199999999997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5">
        <f>SUM(C27:O27)</f>
        <v>4665.6399999999976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86328125" customWidth="1"/>
  </cols>
  <sheetData>
    <row r="2" spans="2:3" ht="30" customHeight="1" x14ac:dyDescent="0.45">
      <c r="B2" s="66" t="s">
        <v>22</v>
      </c>
      <c r="C2" s="67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11</v>
      </c>
      <c r="C4" s="30">
        <v>7.0000000000000007E-2</v>
      </c>
    </row>
    <row r="5" spans="2:3" ht="30" customHeight="1" x14ac:dyDescent="0.45">
      <c r="B5" s="29" t="s">
        <v>12</v>
      </c>
      <c r="C5" s="29">
        <v>75</v>
      </c>
    </row>
    <row r="6" spans="2:3" ht="30" customHeight="1" x14ac:dyDescent="0.45">
      <c r="B6" s="29" t="s">
        <v>38</v>
      </c>
      <c r="C6" s="29">
        <v>560</v>
      </c>
    </row>
    <row r="7" spans="2:3" ht="23.1" customHeight="1" x14ac:dyDescent="0.45">
      <c r="B7" s="29" t="s">
        <v>40</v>
      </c>
      <c r="C7" s="29">
        <v>580</v>
      </c>
    </row>
    <row r="8" spans="2:3" x14ac:dyDescent="0.45">
      <c r="B8" s="63" t="s">
        <v>42</v>
      </c>
      <c r="C8" s="63">
        <v>610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B5" sqref="B5:C6"/>
    </sheetView>
  </sheetViews>
  <sheetFormatPr baseColWidth="10" defaultRowHeight="14.25" x14ac:dyDescent="0.45"/>
  <cols>
    <col min="2" max="2" width="20.265625" customWidth="1"/>
  </cols>
  <sheetData>
    <row r="2" spans="2:3" ht="17.100000000000001" customHeight="1" x14ac:dyDescent="0.45">
      <c r="B2" s="68" t="s">
        <v>23</v>
      </c>
      <c r="C2" s="68"/>
    </row>
    <row r="3" spans="2:3" ht="17.100000000000001" customHeight="1" x14ac:dyDescent="0.45">
      <c r="B3" s="34" t="s">
        <v>24</v>
      </c>
      <c r="C3" s="35">
        <f>'2022'!P26+'2023'!P27+'2024'!P27+'2025'!P27</f>
        <v>3.0000000007021299E-2</v>
      </c>
    </row>
    <row r="4" spans="2:3" ht="17.100000000000001" customHeight="1" x14ac:dyDescent="0.45">
      <c r="B4" s="34" t="s">
        <v>26</v>
      </c>
      <c r="C4" s="36">
        <f>SUM('2022'!P12)+('2023'!P12)+('2024'!P12)+'2025'!P12</f>
        <v>54.5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128</vt:i4>
      </vt:variant>
    </vt:vector>
  </HeadingPairs>
  <TitlesOfParts>
    <vt:vector size="134" baseType="lpstr">
      <vt:lpstr>2022</vt:lpstr>
      <vt:lpstr>2023</vt:lpstr>
      <vt:lpstr>2024</vt:lpstr>
      <vt:lpstr>2025</vt:lpstr>
      <vt:lpstr>Params</vt:lpstr>
      <vt:lpstr>Synthése</vt:lpstr>
      <vt:lpstr>'2022'!AOUT</vt:lpstr>
      <vt:lpstr>'2023'!AOUT</vt:lpstr>
      <vt:lpstr>'2024'!AOUT</vt:lpstr>
      <vt:lpstr>'2025'!AOUT</vt:lpstr>
      <vt:lpstr>'2022'!AVRIL</vt:lpstr>
      <vt:lpstr>'2023'!AVRIL</vt:lpstr>
      <vt:lpstr>'2024'!AVRIL</vt:lpstr>
      <vt:lpstr>'2025'!AVRIL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'2022'!FEVRIER</vt:lpstr>
      <vt:lpstr>'2023'!FEVRIER</vt:lpstr>
      <vt:lpstr>'2024'!FEVRIER</vt:lpstr>
      <vt:lpstr>'2025'!FEVRIER</vt:lpstr>
      <vt:lpstr>'2022'!JANVIER</vt:lpstr>
      <vt:lpstr>'2023'!JANVIER</vt:lpstr>
      <vt:lpstr>'2024'!JANVIER</vt:lpstr>
      <vt:lpstr>'2025'!JANVIER</vt:lpstr>
      <vt:lpstr>'2022'!JUILLET</vt:lpstr>
      <vt:lpstr>'2023'!JUILLET</vt:lpstr>
      <vt:lpstr>'2024'!JUILLET</vt:lpstr>
      <vt:lpstr>'2025'!JUILLET</vt:lpstr>
      <vt:lpstr>'2022'!JUIN</vt:lpstr>
      <vt:lpstr>'2023'!JUIN</vt:lpstr>
      <vt:lpstr>'2024'!JUIN</vt:lpstr>
      <vt:lpstr>'2025'!JUIN</vt:lpstr>
      <vt:lpstr>'2022'!MAI</vt:lpstr>
      <vt:lpstr>'2023'!MAI</vt:lpstr>
      <vt:lpstr>'2024'!MAI</vt:lpstr>
      <vt:lpstr>'2025'!MAI</vt:lpstr>
      <vt:lpstr>'2022'!MARS</vt:lpstr>
      <vt:lpstr>'2023'!MARS</vt:lpstr>
      <vt:lpstr>'2024'!MARS</vt:lpstr>
      <vt:lpstr>'2025'!MARS</vt:lpstr>
      <vt:lpstr>'2022'!MOIS</vt:lpstr>
      <vt:lpstr>'2023'!MOIS</vt:lpstr>
      <vt:lpstr>'2024'!MOIS</vt:lpstr>
      <vt:lpstr>'2025'!MOIS</vt:lpstr>
      <vt:lpstr>'2022'!NOVEMBRE</vt:lpstr>
      <vt:lpstr>'2023'!NOVEMBRE</vt:lpstr>
      <vt:lpstr>'2024'!NOVEMBRE</vt:lpstr>
      <vt:lpstr>'2025'!NOVEMBRE</vt:lpstr>
      <vt:lpstr>'2022'!OCTOBRE</vt:lpstr>
      <vt:lpstr>'2023'!OCTOBRE</vt:lpstr>
      <vt:lpstr>'2024'!OCTOBRE</vt:lpstr>
      <vt:lpstr>'2025'!OCTOBRE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'2022'!SEPTEMBRE</vt:lpstr>
      <vt:lpstr>'2023'!SEPTEMBRE</vt:lpstr>
      <vt:lpstr>'2024'!SEPTEMBRE</vt:lpstr>
      <vt:lpstr>'2025'!SEPTEMBRE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2025-04-29T17:11:49Z</dcterms:modified>
</cp:coreProperties>
</file>