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STC\Alaaeddinne WERFELLI -23-04\"/>
    </mc:Choice>
  </mc:AlternateContent>
  <bookViews>
    <workbookView xWindow="0" yWindow="0" windowWidth="28770" windowHeight="3960" activeTab="5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'2024'!$B$27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'2024'!$B$25</definedName>
    <definedName name="TOTAL_SORTIES" localSheetId="3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7" l="1"/>
  <c r="E23" i="17" l="1"/>
  <c r="F17" i="17" l="1"/>
  <c r="C4" i="13" l="1"/>
  <c r="E17" i="17"/>
  <c r="D23" i="17" l="1"/>
  <c r="D17" i="17"/>
  <c r="D19" i="17" s="1"/>
  <c r="N17" i="16"/>
  <c r="M17" i="16"/>
  <c r="M19" i="16" s="1"/>
  <c r="L25" i="17"/>
  <c r="K25" i="17"/>
  <c r="H25" i="17"/>
  <c r="G25" i="17"/>
  <c r="D25" i="17"/>
  <c r="P24" i="17"/>
  <c r="N25" i="17"/>
  <c r="M25" i="17"/>
  <c r="J25" i="17"/>
  <c r="I25" i="17"/>
  <c r="F25" i="17"/>
  <c r="E25" i="17"/>
  <c r="P22" i="17"/>
  <c r="N19" i="17"/>
  <c r="M19" i="17"/>
  <c r="M27" i="17" s="1"/>
  <c r="L19" i="17"/>
  <c r="L27" i="17" s="1"/>
  <c r="K19" i="17"/>
  <c r="K27" i="17" s="1"/>
  <c r="J19" i="17"/>
  <c r="J27" i="17" s="1"/>
  <c r="I19" i="17"/>
  <c r="H19" i="17"/>
  <c r="H27" i="17" s="1"/>
  <c r="G19" i="17"/>
  <c r="F19" i="17"/>
  <c r="E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L25" i="16"/>
  <c r="D25" i="16"/>
  <c r="P24" i="16"/>
  <c r="N23" i="16"/>
  <c r="N25" i="16" s="1"/>
  <c r="M23" i="16"/>
  <c r="M25" i="16" s="1"/>
  <c r="L23" i="16"/>
  <c r="K23" i="16"/>
  <c r="K25" i="16" s="1"/>
  <c r="J23" i="16"/>
  <c r="J25" i="16" s="1"/>
  <c r="I23" i="16"/>
  <c r="I25" i="16" s="1"/>
  <c r="H23" i="16"/>
  <c r="H25" i="16" s="1"/>
  <c r="G23" i="16"/>
  <c r="P23" i="16" s="1"/>
  <c r="F23" i="16"/>
  <c r="F25" i="16" s="1"/>
  <c r="E23" i="16"/>
  <c r="E25" i="16" s="1"/>
  <c r="D23" i="16"/>
  <c r="C23" i="16"/>
  <c r="C25" i="16" s="1"/>
  <c r="P22" i="16"/>
  <c r="L17" i="16"/>
  <c r="L19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D2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G23" i="15"/>
  <c r="G25" i="15" s="1"/>
  <c r="F23" i="15"/>
  <c r="F25" i="15" s="1"/>
  <c r="E23" i="15"/>
  <c r="D23" i="15"/>
  <c r="D25" i="15" s="1"/>
  <c r="C23" i="15"/>
  <c r="C25" i="15" s="1"/>
  <c r="P22" i="15"/>
  <c r="P18" i="15"/>
  <c r="N17" i="15"/>
  <c r="N19" i="15" s="1"/>
  <c r="M17" i="15"/>
  <c r="M19" i="15" s="1"/>
  <c r="M27" i="15" s="1"/>
  <c r="L17" i="15"/>
  <c r="L19" i="15" s="1"/>
  <c r="K17" i="15"/>
  <c r="K19" i="15" s="1"/>
  <c r="J17" i="15"/>
  <c r="J19" i="15" s="1"/>
  <c r="J27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K24" i="14"/>
  <c r="K26" i="14" s="1"/>
  <c r="J24" i="14"/>
  <c r="I24" i="14"/>
  <c r="H24" i="14"/>
  <c r="G24" i="14"/>
  <c r="F24" i="14"/>
  <c r="E24" i="14"/>
  <c r="D24" i="14"/>
  <c r="C24" i="14"/>
  <c r="C26" i="14" s="1"/>
  <c r="N23" i="14"/>
  <c r="N24" i="14" s="1"/>
  <c r="M23" i="14"/>
  <c r="M24" i="14" s="1"/>
  <c r="L23" i="14"/>
  <c r="P22" i="14"/>
  <c r="L19" i="14"/>
  <c r="K19" i="14"/>
  <c r="J19" i="14"/>
  <c r="J26" i="14" s="1"/>
  <c r="I19" i="14"/>
  <c r="I26" i="14" s="1"/>
  <c r="H19" i="14"/>
  <c r="H26" i="14" s="1"/>
  <c r="G19" i="14"/>
  <c r="F19" i="14"/>
  <c r="E19" i="14"/>
  <c r="D19" i="14"/>
  <c r="C19" i="14"/>
  <c r="N17" i="14"/>
  <c r="N19" i="14" s="1"/>
  <c r="M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7" i="15" l="1"/>
  <c r="N26" i="14"/>
  <c r="N27" i="15"/>
  <c r="P8" i="15"/>
  <c r="P23" i="14"/>
  <c r="P8" i="14"/>
  <c r="G27" i="15"/>
  <c r="E26" i="14"/>
  <c r="G26" i="14"/>
  <c r="H27" i="16"/>
  <c r="I27" i="16"/>
  <c r="F27" i="17"/>
  <c r="P23" i="15"/>
  <c r="P8" i="16"/>
  <c r="D26" i="14"/>
  <c r="F26" i="14"/>
  <c r="H27" i="15"/>
  <c r="L27" i="16"/>
  <c r="G27" i="17"/>
  <c r="D27" i="15"/>
  <c r="F27" i="15"/>
  <c r="I27" i="15"/>
  <c r="P17" i="16"/>
  <c r="P17" i="15"/>
  <c r="N19" i="16"/>
  <c r="P19" i="16" s="1"/>
  <c r="N27" i="17"/>
  <c r="E27" i="17"/>
  <c r="P8" i="17"/>
  <c r="D27" i="17"/>
  <c r="I27" i="17"/>
  <c r="E27" i="16"/>
  <c r="P19" i="15"/>
  <c r="F27" i="16"/>
  <c r="L26" i="14"/>
  <c r="J27" i="16"/>
  <c r="M27" i="16"/>
  <c r="K27" i="15"/>
  <c r="C27" i="16"/>
  <c r="K27" i="16"/>
  <c r="L24" i="14"/>
  <c r="E25" i="15"/>
  <c r="P25" i="15" s="1"/>
  <c r="G25" i="16"/>
  <c r="P25" i="16" s="1"/>
  <c r="M19" i="14"/>
  <c r="M26" i="14" s="1"/>
  <c r="C27" i="15"/>
  <c r="P24" i="14"/>
  <c r="E27" i="15" l="1"/>
  <c r="P27" i="15" s="1"/>
  <c r="P26" i="14"/>
  <c r="N27" i="16"/>
  <c r="G27" i="16"/>
  <c r="P27" i="16" s="1"/>
  <c r="P19" i="14"/>
  <c r="C23" i="17" l="1"/>
  <c r="C17" i="17"/>
  <c r="C19" i="17" l="1"/>
  <c r="P17" i="17"/>
  <c r="C25" i="17"/>
  <c r="P25" i="17" s="1"/>
  <c r="P23" i="17"/>
  <c r="C27" i="17" l="1"/>
  <c r="P27" i="17" s="1"/>
  <c r="C3" i="13" s="1"/>
  <c r="P19" i="17"/>
</calcChain>
</file>

<file path=xl/comments1.xml><?xml version="1.0" encoding="utf-8"?>
<comments xmlns="http://schemas.openxmlformats.org/spreadsheetml/2006/main">
  <authors>
    <author>PC-HOUDA</author>
  </authors>
  <commentList>
    <comment ref="K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<sst xmlns="http://schemas.openxmlformats.org/spreadsheetml/2006/main" count="145" uniqueCount="43">
  <si>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</si>
  <si>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</si>
  <si>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</si>
  <si>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</si>
  <si>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</si>
  <si>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</si>
  <si>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</si>
  <si>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</si>
  <si>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</si>
  <si>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</si>
  <si>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</si>
  <si>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</si>
  <si>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</si>
  <si>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</si>
  <si>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</si>
  <si>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</si>
  <si>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</si>
  <si>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</si>
  <si>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</si>
  <si>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</si>
  <si>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</si>
  <si>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</si>
  <si>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</si>
  <si>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</si>
  <si>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</si>
  <si>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</si>
  <si>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</si>
  <si>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</si>
  <si>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</si>
  <si>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</si>
  <si>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</si>
  <si>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</si>
  <si>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</si>
  <si>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</si>
  <si>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</si>
  <si>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</si>
  <si>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</si>
  <si>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</si>
  <si>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</si>
  <si>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</si>
  <si>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</si>
  <si>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</si>
  <si>
    <t>TJM (Novembre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</si>
</sst>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3"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M11*Params!$C$6*(1-Params!$C$3)-Params!$C$5</f>
        <v>8168.2000000000007</v>
      </c>
      <c r="N17" s="9">
        <f>N11*Params!$C$6*(1-Params!$C$3)-Params!$C$5</f>
        <v>11259.4</v>
      </c>
      <c r="O17" s="4"/>
      <c r="P17" s="37">
        <f>SUM(C17:N17)</f>
        <v>19427.599999999999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topLeftCell="A13" workbookViewId="0">
      <selection activeCell="C25" sqref="C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45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>
        <v>22</v>
      </c>
      <c r="M7" s="33">
        <v>18</v>
      </c>
      <c r="N7" s="33">
        <v>10</v>
      </c>
      <c r="O7" s="31"/>
      <c r="P7" s="53">
        <f>SUM(C7:N7)</f>
        <v>228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-1</v>
      </c>
      <c r="N8" s="32">
        <f t="shared" si="0"/>
        <v>-9</v>
      </c>
      <c r="O8" s="31"/>
      <c r="P8" s="53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>
        <v>22</v>
      </c>
      <c r="M11" s="10">
        <v>18</v>
      </c>
      <c r="N11" s="10">
        <v>10</v>
      </c>
      <c r="P11" s="54">
        <f>SUM(C11:N11)</f>
        <v>228</v>
      </c>
    </row>
    <row r="12" spans="2:16" x14ac:dyDescent="0.45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>
        <v>3</v>
      </c>
      <c r="N12" s="11">
        <v>10</v>
      </c>
      <c r="P12" s="54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>
        <f>C11*Params!$C$6*(1-Params!$C$3)-Params!$C$5</f>
        <v>11259.4</v>
      </c>
      <c r="D17" s="9">
        <f>D11*Params!$C$6*(1-Params!$C$3)-Params!$C$5</f>
        <v>7653</v>
      </c>
      <c r="E17" s="9">
        <f>E11*Params!$C$6*(1-Params!$C$3)-Params!$C$5</f>
        <v>11774.6</v>
      </c>
      <c r="F17" s="9">
        <f>F11*Params!$C$6*(1-Params!$C$3)-Params!$C$5</f>
        <v>9713.8000000000011</v>
      </c>
      <c r="G17" s="9">
        <f>G11*Params!$C$6*(1-Params!$C$3)-Params!$C$5</f>
        <v>9713.8000000000011</v>
      </c>
      <c r="H17" s="9">
        <f>H11*Params!$C$6*(1-Params!$C$3)-Params!$C$5</f>
        <v>8683.4</v>
      </c>
      <c r="I17" s="9">
        <f>I11*Params!$C$6*(1-Params!$C$3)-Params!$C$5</f>
        <v>10229</v>
      </c>
      <c r="J17" s="9">
        <f>J11*Params!$C$6*(1-Params!$C$3)-Params!$C$5</f>
        <v>11259.4</v>
      </c>
      <c r="K17" s="9">
        <f>K11*Params!$C$6*(1-Params!$C$3)-Params!$C$5</f>
        <v>10744.2</v>
      </c>
      <c r="L17" s="9">
        <f>L11*Params!$C$7*(1-Params!$C$3)-Params!$C$5</f>
        <v>11664.2</v>
      </c>
      <c r="M17" s="9">
        <f>M11*Params!$C$7*(1-Params!$C$3)-Params!$C$5</f>
        <v>9529.8000000000011</v>
      </c>
      <c r="N17" s="9">
        <f>N11*Params!$C$7*(1-Params!$C$3)-Params!$C$5</f>
        <v>5261</v>
      </c>
      <c r="O17" s="4"/>
      <c r="P17" s="37">
        <f>SUM(C17:N17)</f>
        <v>117485.59999999999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>
        <v>976</v>
      </c>
      <c r="L18" s="9"/>
      <c r="M18" s="9"/>
      <c r="N18" s="9"/>
      <c r="O18" s="4"/>
      <c r="P18" s="37">
        <f t="shared" ref="P18" si="1">SUM(C18:N18)</f>
        <v>976</v>
      </c>
    </row>
    <row r="19" spans="2:16" x14ac:dyDescent="0.45">
      <c r="B19" s="24" t="s">
        <v>2</v>
      </c>
      <c r="C19" s="25">
        <f t="shared" ref="C19:N19" si="2">SUM(C17:C18)</f>
        <v>11259.4</v>
      </c>
      <c r="D19" s="25">
        <f t="shared" si="2"/>
        <v>7653</v>
      </c>
      <c r="E19" s="25">
        <f t="shared" si="2"/>
        <v>11774.6</v>
      </c>
      <c r="F19" s="25">
        <f t="shared" si="2"/>
        <v>9713.8000000000011</v>
      </c>
      <c r="G19" s="25">
        <f t="shared" si="2"/>
        <v>9713.8000000000011</v>
      </c>
      <c r="H19" s="25">
        <f t="shared" si="2"/>
        <v>8683.4</v>
      </c>
      <c r="I19" s="25">
        <f t="shared" si="2"/>
        <v>10229</v>
      </c>
      <c r="J19" s="25">
        <f t="shared" si="2"/>
        <v>11259.4</v>
      </c>
      <c r="K19" s="25">
        <f t="shared" si="2"/>
        <v>11720.2</v>
      </c>
      <c r="L19" s="25">
        <f t="shared" si="2"/>
        <v>11664.2</v>
      </c>
      <c r="M19" s="25">
        <f t="shared" si="2"/>
        <v>9529.8000000000011</v>
      </c>
      <c r="N19" s="25">
        <f t="shared" si="2"/>
        <v>5261</v>
      </c>
      <c r="O19" s="5"/>
      <c r="P19" s="38">
        <f>SUM(C19:N19)</f>
        <v>118461.59999999999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>
        <v>6209.39</v>
      </c>
      <c r="M22" s="9">
        <v>6209.39</v>
      </c>
      <c r="N22" s="9">
        <v>11637.57</v>
      </c>
      <c r="O22" s="4"/>
      <c r="P22" s="39">
        <f>SUM(C22:N22)</f>
        <v>80008.510000000009</v>
      </c>
    </row>
    <row r="23" spans="2:16" x14ac:dyDescent="0.45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>
        <f>1176.65+2348.23</f>
        <v>3524.88</v>
      </c>
      <c r="M23" s="9">
        <f>1176.65+2348.23</f>
        <v>3524.88</v>
      </c>
      <c r="N23" s="9">
        <f>1748.47+2356.12</f>
        <v>4104.59</v>
      </c>
      <c r="O23" s="4"/>
      <c r="P23" s="39">
        <f>SUM(C23:N23)</f>
        <v>42943.69</v>
      </c>
    </row>
    <row r="24" spans="2:16" x14ac:dyDescent="0.45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45">
      <c r="B25" s="7" t="s">
        <v>3</v>
      </c>
      <c r="C25" s="40">
        <f t="shared" ref="C25:N25" si="3">SUM(C22:C24)</f>
        <v>10732.83</v>
      </c>
      <c r="D25" s="40">
        <f t="shared" si="3"/>
        <v>9732.83</v>
      </c>
      <c r="E25" s="40">
        <f t="shared" si="3"/>
        <v>9745.9700000000012</v>
      </c>
      <c r="F25" s="40">
        <f t="shared" si="3"/>
        <v>9732.83</v>
      </c>
      <c r="G25" s="40">
        <f t="shared" si="3"/>
        <v>9735.7100000000009</v>
      </c>
      <c r="H25" s="40">
        <f t="shared" si="3"/>
        <v>9734.27</v>
      </c>
      <c r="I25" s="40">
        <f t="shared" si="3"/>
        <v>9858.52</v>
      </c>
      <c r="J25" s="40">
        <f t="shared" si="3"/>
        <v>9734.27</v>
      </c>
      <c r="K25" s="40">
        <f t="shared" si="3"/>
        <v>9734.27</v>
      </c>
      <c r="L25" s="40">
        <f t="shared" si="3"/>
        <v>9734.27</v>
      </c>
      <c r="M25" s="40">
        <f t="shared" si="3"/>
        <v>9734.27</v>
      </c>
      <c r="N25" s="40">
        <f t="shared" si="3"/>
        <v>15742.16</v>
      </c>
      <c r="O25" s="4"/>
      <c r="P25" s="41">
        <f>SUM(C25:N25)</f>
        <v>123952.20000000003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526.56999999999971</v>
      </c>
      <c r="D27" s="44">
        <f t="shared" si="4"/>
        <v>-2079.83</v>
      </c>
      <c r="E27" s="44">
        <f t="shared" si="4"/>
        <v>2028.6299999999992</v>
      </c>
      <c r="F27" s="44">
        <f t="shared" si="4"/>
        <v>-19.029999999998836</v>
      </c>
      <c r="G27" s="44">
        <f t="shared" si="4"/>
        <v>-21.909999999999854</v>
      </c>
      <c r="H27" s="44">
        <f t="shared" si="4"/>
        <v>-1050.8700000000008</v>
      </c>
      <c r="I27" s="44">
        <f t="shared" si="4"/>
        <v>370.47999999999956</v>
      </c>
      <c r="J27" s="44">
        <f t="shared" si="4"/>
        <v>1525.1299999999992</v>
      </c>
      <c r="K27" s="44">
        <f t="shared" si="4"/>
        <v>1985.9300000000003</v>
      </c>
      <c r="L27" s="44">
        <f t="shared" si="4"/>
        <v>1929.9300000000003</v>
      </c>
      <c r="M27" s="44">
        <f t="shared" si="4"/>
        <v>-204.46999999999935</v>
      </c>
      <c r="N27" s="44">
        <f t="shared" si="4"/>
        <v>-10481.16</v>
      </c>
      <c r="P27" s="55">
        <f>SUM(C27:N27)</f>
        <v>-5490.6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I25" sqref="I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45">
      <c r="B7" s="8" t="s">
        <v>20</v>
      </c>
      <c r="C7" s="33">
        <v>22</v>
      </c>
      <c r="D7" s="33">
        <v>21</v>
      </c>
      <c r="E7" s="33">
        <v>21</v>
      </c>
      <c r="F7" s="33">
        <v>21</v>
      </c>
      <c r="G7" s="33">
        <v>16</v>
      </c>
      <c r="H7" s="33">
        <v>11</v>
      </c>
      <c r="I7" s="33">
        <v>23</v>
      </c>
      <c r="J7" s="33">
        <v>21</v>
      </c>
      <c r="K7" s="33">
        <v>21</v>
      </c>
      <c r="L7" s="33">
        <v>16</v>
      </c>
      <c r="M7" s="33">
        <v>19</v>
      </c>
      <c r="N7" s="33">
        <v>14</v>
      </c>
      <c r="O7" s="31"/>
      <c r="P7" s="53">
        <f>SUM(C7:N7)</f>
        <v>226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2</v>
      </c>
      <c r="G8" s="32">
        <f t="shared" si="0"/>
        <v>-3</v>
      </c>
      <c r="H8" s="32">
        <f t="shared" si="0"/>
        <v>-8</v>
      </c>
      <c r="I8" s="32">
        <f t="shared" si="0"/>
        <v>4</v>
      </c>
      <c r="J8" s="32">
        <f t="shared" si="0"/>
        <v>2</v>
      </c>
      <c r="K8" s="32">
        <f t="shared" si="0"/>
        <v>2</v>
      </c>
      <c r="L8" s="32">
        <f t="shared" si="0"/>
        <v>-3</v>
      </c>
      <c r="M8" s="32">
        <f t="shared" si="0"/>
        <v>0</v>
      </c>
      <c r="N8" s="32">
        <f t="shared" si="0"/>
        <v>-5</v>
      </c>
      <c r="O8" s="31"/>
      <c r="P8" s="53">
        <f>SUM(C8:N8)</f>
        <v>-2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>
        <v>21</v>
      </c>
      <c r="F11" s="10">
        <v>21</v>
      </c>
      <c r="G11" s="10">
        <v>16</v>
      </c>
      <c r="H11" s="10">
        <v>11</v>
      </c>
      <c r="I11" s="10">
        <v>23</v>
      </c>
      <c r="J11" s="10">
        <v>21</v>
      </c>
      <c r="K11" s="10">
        <v>21</v>
      </c>
      <c r="L11" s="10">
        <v>15.5</v>
      </c>
      <c r="M11" s="10">
        <v>19</v>
      </c>
      <c r="N11" s="10">
        <v>14</v>
      </c>
      <c r="P11" s="54">
        <f>SUM(C11:N11)</f>
        <v>225.5</v>
      </c>
    </row>
    <row r="12" spans="2:16" x14ac:dyDescent="0.45">
      <c r="B12" s="8" t="s">
        <v>15</v>
      </c>
      <c r="C12" s="11"/>
      <c r="D12" s="11"/>
      <c r="E12" s="11"/>
      <c r="F12" s="11"/>
      <c r="G12" s="11">
        <v>3</v>
      </c>
      <c r="H12" s="11">
        <v>9</v>
      </c>
      <c r="I12" s="11"/>
      <c r="J12" s="11"/>
      <c r="K12" s="11"/>
      <c r="L12" s="11">
        <v>7.5</v>
      </c>
      <c r="M12" s="11"/>
      <c r="N12" s="11">
        <v>7</v>
      </c>
      <c r="P12" s="54">
        <f>SUM(C12:N12)</f>
        <v>26.5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>
        <f>C11*Params!$C$7*(1-Params!$C$3)-Params!$C$5</f>
        <v>11664.2</v>
      </c>
      <c r="D17" s="9">
        <f>D11*Params!$C$7*(1-Params!$C$3)-Params!$C$5</f>
        <v>11130.6</v>
      </c>
      <c r="E17" s="9">
        <f>E11*Params!$C$7*(1-Params!$C$3)-Params!$C$5</f>
        <v>11130.6</v>
      </c>
      <c r="F17" s="9">
        <f>F11*Params!$C$7*(1-Params!$C$3)-Params!$C$5</f>
        <v>11130.6</v>
      </c>
      <c r="G17" s="9">
        <f>G11*Params!$C$7*(1-Params!$C$3)-Params!$C$5</f>
        <v>8462.6</v>
      </c>
      <c r="H17" s="9">
        <f>H11*Params!$C$7*(1-Params!$C$3)-Params!$C$5</f>
        <v>5794.6</v>
      </c>
      <c r="I17" s="9">
        <f>I11*Params!$C$7*(1-Params!$C$3)-Params!$C$5</f>
        <v>12197.800000000001</v>
      </c>
      <c r="J17" s="9">
        <f>J11*Params!$C$7*(1-Params!$C$3)-Params!$C$5</f>
        <v>11130.6</v>
      </c>
      <c r="K17" s="9">
        <f>K11*Params!$C$7*(1-Params!$C$3)-Params!$C$5</f>
        <v>11130.6</v>
      </c>
      <c r="L17" s="9">
        <f>L11*Params!$C$7*(1-Params!$C$3)-Params!$C$5</f>
        <v>8195.8000000000011</v>
      </c>
      <c r="M17" s="9">
        <f>M11*Params!$C$8*(1-Params!$C$3)-Params!$C$5</f>
        <v>10587.800000000001</v>
      </c>
      <c r="N17" s="9">
        <f>N11*Params!$C$8*(1-Params!$C$3)-Params!$C$5</f>
        <v>7781.8</v>
      </c>
      <c r="O17" s="4"/>
      <c r="P17" s="37">
        <f>SUM(C17:N17)</f>
        <v>120337.60000000002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11130.6</v>
      </c>
      <c r="E19" s="25">
        <f t="shared" si="1"/>
        <v>11130.6</v>
      </c>
      <c r="F19" s="25">
        <f t="shared" si="1"/>
        <v>11130.6</v>
      </c>
      <c r="G19" s="25">
        <f t="shared" si="1"/>
        <v>8462.6</v>
      </c>
      <c r="H19" s="25">
        <f t="shared" si="1"/>
        <v>5794.6</v>
      </c>
      <c r="I19" s="25">
        <f t="shared" si="1"/>
        <v>12197.800000000001</v>
      </c>
      <c r="J19" s="25">
        <f t="shared" si="1"/>
        <v>11130.6</v>
      </c>
      <c r="K19" s="25">
        <f t="shared" si="1"/>
        <v>11130.6</v>
      </c>
      <c r="L19" s="25">
        <f t="shared" si="1"/>
        <v>8195.8000000000011</v>
      </c>
      <c r="M19" s="25">
        <f t="shared" si="1"/>
        <v>10587.800000000001</v>
      </c>
      <c r="N19" s="25">
        <f t="shared" si="1"/>
        <v>7781.8</v>
      </c>
      <c r="O19" s="5"/>
      <c r="P19" s="38">
        <f>SUM(C19:O19)</f>
        <v>120337.60000000002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>
        <v>6202.71</v>
      </c>
      <c r="D22" s="9">
        <v>6202.71</v>
      </c>
      <c r="E22" s="9">
        <v>6202.71</v>
      </c>
      <c r="F22" s="9">
        <v>6202.71</v>
      </c>
      <c r="G22" s="9">
        <v>6202.71</v>
      </c>
      <c r="H22" s="9">
        <v>6202.71</v>
      </c>
      <c r="I22" s="9">
        <v>6202.71</v>
      </c>
      <c r="J22" s="9">
        <v>6202.71</v>
      </c>
      <c r="K22" s="9">
        <v>6202.71</v>
      </c>
      <c r="L22" s="9">
        <v>6202.71</v>
      </c>
      <c r="M22" s="9">
        <v>6461.89</v>
      </c>
      <c r="N22" s="9">
        <v>6202.71</v>
      </c>
      <c r="O22" s="4"/>
      <c r="P22" s="39">
        <f>SUM(C22:N22)</f>
        <v>74691.700000000012</v>
      </c>
    </row>
    <row r="23" spans="2:16" x14ac:dyDescent="0.45">
      <c r="B23" s="8" t="s">
        <v>8</v>
      </c>
      <c r="C23" s="9">
        <f>1190.18+2391.76</f>
        <v>3581.9400000000005</v>
      </c>
      <c r="D23" s="9">
        <f>1190.18+2365.45</f>
        <v>3555.63</v>
      </c>
      <c r="E23" s="9">
        <f>1190.18+2365.45</f>
        <v>3555.63</v>
      </c>
      <c r="F23" s="9">
        <f>1190.18+2365.45</f>
        <v>3555.63</v>
      </c>
      <c r="G23" s="9">
        <f>1190.18+2391.35</f>
        <v>3581.5299999999997</v>
      </c>
      <c r="H23" s="9">
        <f>1190.18+2391.35</f>
        <v>3581.5299999999997</v>
      </c>
      <c r="I23" s="9">
        <f>1190.18+2417.9</f>
        <v>3608.08</v>
      </c>
      <c r="J23" s="9">
        <f>1190.18+2394.23</f>
        <v>3584.41</v>
      </c>
      <c r="K23" s="9">
        <f>1190.18+2394.23</f>
        <v>3584.41</v>
      </c>
      <c r="L23" s="9">
        <f>1190.18+2394.23</f>
        <v>3584.41</v>
      </c>
      <c r="M23" s="9">
        <f>1248.59+2523.63</f>
        <v>3772.2200000000003</v>
      </c>
      <c r="N23" s="9">
        <f>1190.18+2394.23</f>
        <v>3584.41</v>
      </c>
      <c r="O23" s="4"/>
      <c r="P23" s="39">
        <f>SUM(C23:N23)</f>
        <v>43129.83</v>
      </c>
    </row>
    <row r="24" spans="2:16" x14ac:dyDescent="0.45">
      <c r="B24" s="61" t="s">
        <v>41</v>
      </c>
      <c r="C24" s="62"/>
      <c r="D24" s="62"/>
      <c r="E24" s="62"/>
      <c r="F24" s="62"/>
      <c r="G24" s="62"/>
      <c r="H24" s="62"/>
      <c r="I24" s="62">
        <v>1140.8</v>
      </c>
      <c r="J24" s="62"/>
      <c r="K24" s="62"/>
      <c r="L24" s="62"/>
      <c r="M24" s="62"/>
      <c r="N24" s="62"/>
      <c r="O24" s="4"/>
      <c r="P24" s="39">
        <f>SUM(C24:N24)</f>
        <v>1140.8</v>
      </c>
    </row>
    <row r="25" spans="2:16" x14ac:dyDescent="0.45">
      <c r="B25" s="7" t="s">
        <v>3</v>
      </c>
      <c r="C25" s="40">
        <f t="shared" ref="C25:N25" si="2">SUM(C22:C24)</f>
        <v>9784.6500000000015</v>
      </c>
      <c r="D25" s="40">
        <f t="shared" si="2"/>
        <v>9758.34</v>
      </c>
      <c r="E25" s="40">
        <f t="shared" si="2"/>
        <v>9758.34</v>
      </c>
      <c r="F25" s="40">
        <f t="shared" si="2"/>
        <v>9758.34</v>
      </c>
      <c r="G25" s="40">
        <f t="shared" si="2"/>
        <v>9784.24</v>
      </c>
      <c r="H25" s="40">
        <f t="shared" si="2"/>
        <v>9784.24</v>
      </c>
      <c r="I25" s="40">
        <f t="shared" si="2"/>
        <v>10951.59</v>
      </c>
      <c r="J25" s="40">
        <f t="shared" si="2"/>
        <v>9787.119999999999</v>
      </c>
      <c r="K25" s="40">
        <f t="shared" si="2"/>
        <v>9787.119999999999</v>
      </c>
      <c r="L25" s="40">
        <f t="shared" si="2"/>
        <v>9787.119999999999</v>
      </c>
      <c r="M25" s="40">
        <f t="shared" si="2"/>
        <v>10234.11</v>
      </c>
      <c r="N25" s="40">
        <f t="shared" si="2"/>
        <v>9787.119999999999</v>
      </c>
      <c r="O25" s="4"/>
      <c r="P25" s="41">
        <f>SUM(C25:N25)</f>
        <v>118962.32999999997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1879.5499999999993</v>
      </c>
      <c r="D27" s="44">
        <f t="shared" si="3"/>
        <v>1372.2600000000002</v>
      </c>
      <c r="E27" s="44">
        <f t="shared" si="3"/>
        <v>1372.2600000000002</v>
      </c>
      <c r="F27" s="44">
        <f t="shared" si="3"/>
        <v>1372.2600000000002</v>
      </c>
      <c r="G27" s="44">
        <f t="shared" si="3"/>
        <v>-1321.6399999999994</v>
      </c>
      <c r="H27" s="44">
        <f t="shared" si="3"/>
        <v>-3989.6399999999994</v>
      </c>
      <c r="I27" s="44">
        <f t="shared" si="3"/>
        <v>1246.2100000000009</v>
      </c>
      <c r="J27" s="44">
        <f t="shared" si="3"/>
        <v>1343.4800000000014</v>
      </c>
      <c r="K27" s="44">
        <f t="shared" si="3"/>
        <v>1343.4800000000014</v>
      </c>
      <c r="L27" s="44">
        <f t="shared" si="3"/>
        <v>-1591.3199999999979</v>
      </c>
      <c r="M27" s="44">
        <f t="shared" si="3"/>
        <v>353.69000000000051</v>
      </c>
      <c r="N27" s="44">
        <f t="shared" si="3"/>
        <v>-2005.3199999999988</v>
      </c>
      <c r="P27" s="55">
        <f>SUM(C27:O27)</f>
        <v>1375.2700000000086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B1" workbookViewId="0">
      <selection activeCell="E23" sqref="E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>
        <v>19</v>
      </c>
      <c r="D6" s="57">
        <v>19</v>
      </c>
      <c r="E6" s="57">
        <v>19</v>
      </c>
      <c r="F6" s="33">
        <v>16</v>
      </c>
      <c r="G6" s="33"/>
      <c r="H6" s="33"/>
      <c r="I6" s="33"/>
      <c r="J6" s="33"/>
      <c r="K6" s="33"/>
      <c r="L6" s="33"/>
      <c r="M6" s="33"/>
      <c r="N6" s="33"/>
      <c r="O6" s="31"/>
      <c r="P6" s="53">
        <f>SUM(C6:N6)</f>
        <v>73</v>
      </c>
    </row>
    <row r="7" spans="2:16" x14ac:dyDescent="0.45">
      <c r="B7" s="8" t="s">
        <v>20</v>
      </c>
      <c r="C7" s="33">
        <v>22</v>
      </c>
      <c r="D7" s="33">
        <v>20</v>
      </c>
      <c r="E7" s="33">
        <v>21</v>
      </c>
      <c r="F7" s="33">
        <v>16</v>
      </c>
      <c r="G7" s="33"/>
      <c r="H7" s="33"/>
      <c r="I7" s="33"/>
      <c r="J7" s="33"/>
      <c r="K7" s="33"/>
      <c r="L7" s="33"/>
      <c r="M7" s="33"/>
      <c r="N7" s="33"/>
      <c r="O7" s="31"/>
      <c r="P7" s="53">
        <f>SUM(C7:N7)</f>
        <v>79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3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21</v>
      </c>
      <c r="F11" s="10">
        <v>16</v>
      </c>
      <c r="G11" s="10"/>
      <c r="H11" s="10"/>
      <c r="I11" s="10"/>
      <c r="J11" s="10"/>
      <c r="K11" s="10"/>
      <c r="L11" s="10"/>
      <c r="M11" s="10"/>
      <c r="N11" s="10"/>
      <c r="P11" s="54">
        <f>SUM(C11:N11)</f>
        <v>79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4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>
        <f>C11*Params!$C$8*(1-Params!$C$3)-Params!$C$5</f>
        <v>12271.4</v>
      </c>
      <c r="D17" s="9">
        <f>D11*Params!$C$8*(1-Params!$C$4)</f>
        <v>11346</v>
      </c>
      <c r="E17" s="9">
        <f>E11*Params!$C$8*(1-Params!$C$4)</f>
        <v>11913.3</v>
      </c>
      <c r="F17" s="9">
        <f>F11*Params!$C$8*(1-Params!$C$4)</f>
        <v>9076.7999999999993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44607.5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12271.4</v>
      </c>
      <c r="D19" s="25">
        <f t="shared" si="1"/>
        <v>11346</v>
      </c>
      <c r="E19" s="25">
        <f t="shared" si="1"/>
        <v>11913.3</v>
      </c>
      <c r="F19" s="25">
        <f t="shared" si="1"/>
        <v>9076.7999999999993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44607.5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>
        <v>6203.65</v>
      </c>
      <c r="D22" s="9">
        <v>6826.32</v>
      </c>
      <c r="E22" s="9">
        <v>5156.67</v>
      </c>
      <c r="F22" s="9">
        <v>8305.9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26492.54</v>
      </c>
    </row>
    <row r="23" spans="2:16" x14ac:dyDescent="0.45">
      <c r="B23" s="8" t="s">
        <v>8</v>
      </c>
      <c r="C23" s="9">
        <f>1196.2+2418.99</f>
        <v>3615.1899999999996</v>
      </c>
      <c r="D23" s="9">
        <f>1306.24+2636.37</f>
        <v>3942.6099999999997</v>
      </c>
      <c r="E23" s="9">
        <f>1026.15+2080.65</f>
        <v>3106.8</v>
      </c>
      <c r="F23" s="9">
        <f>926.86+1857.86</f>
        <v>2784.72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13449.319999999998</v>
      </c>
    </row>
    <row r="24" spans="2:16" x14ac:dyDescent="0.45">
      <c r="B24" s="61" t="s">
        <v>41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N25" si="2">SUM(C22:C24)</f>
        <v>9818.84</v>
      </c>
      <c r="D25" s="40">
        <f t="shared" si="2"/>
        <v>10768.93</v>
      </c>
      <c r="E25" s="40">
        <f t="shared" si="2"/>
        <v>8263.4700000000012</v>
      </c>
      <c r="F25" s="40">
        <f t="shared" si="2"/>
        <v>11090.619999999999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39941.86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2452.5599999999995</v>
      </c>
      <c r="D27" s="44">
        <f t="shared" si="3"/>
        <v>577.06999999999971</v>
      </c>
      <c r="E27" s="44">
        <f t="shared" si="3"/>
        <v>3649.8299999999981</v>
      </c>
      <c r="F27" s="44">
        <f t="shared" si="3"/>
        <v>-2013.8199999999997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5">
        <f>SUM(C27:O27)</f>
        <v>4665.6399999999976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86328125" customWidth="1"/>
  </cols>
  <sheetData>
    <row r="2" spans="2:3" ht="30" customHeight="1" x14ac:dyDescent="0.45">
      <c r="B2" s="66" t="s">
        <v>22</v>
      </c>
      <c r="C2" s="67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11</v>
      </c>
      <c r="C4" s="30">
        <v>7.0000000000000007E-2</v>
      </c>
    </row>
    <row r="5" spans="2:3" ht="30" customHeight="1" x14ac:dyDescent="0.45">
      <c r="B5" s="29" t="s">
        <v>12</v>
      </c>
      <c r="C5" s="29">
        <v>75</v>
      </c>
    </row>
    <row r="6" spans="2:3" ht="30" customHeight="1" x14ac:dyDescent="0.45">
      <c r="B6" s="29" t="s">
        <v>38</v>
      </c>
      <c r="C6" s="29">
        <v>560</v>
      </c>
    </row>
    <row r="7" spans="2:3" ht="23.1" customHeight="1" x14ac:dyDescent="0.45">
      <c r="B7" s="29" t="s">
        <v>40</v>
      </c>
      <c r="C7" s="29">
        <v>580</v>
      </c>
    </row>
    <row r="8" spans="2:3" x14ac:dyDescent="0.45">
      <c r="B8" s="63" t="s">
        <v>42</v>
      </c>
      <c r="C8" s="63">
        <v>610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B5" sqref="B5:C6"/>
    </sheetView>
  </sheetViews>
  <sheetFormatPr baseColWidth="10" defaultRowHeight="14.25" x14ac:dyDescent="0.45"/>
  <cols>
    <col min="2" max="2" width="20.265625" customWidth="1"/>
  </cols>
  <sheetData>
    <row r="2" spans="2:3" ht="17.100000000000001" customHeight="1" x14ac:dyDescent="0.45">
      <c r="B2" s="68" t="s">
        <v>23</v>
      </c>
      <c r="C2" s="68"/>
    </row>
    <row r="3" spans="2:3" ht="17.100000000000001" customHeight="1" x14ac:dyDescent="0.45">
      <c r="B3" s="34" t="s">
        <v>24</v>
      </c>
      <c r="C3" s="35">
        <f>'2022'!P26+'2023'!P27+'2024'!P27+'2025'!P27</f>
        <v>3.0000000007021299E-2</v>
      </c>
    </row>
    <row r="4" spans="2:3" ht="17.100000000000001" customHeight="1" x14ac:dyDescent="0.45">
      <c r="B4" s="34" t="s">
        <v>26</v>
      </c>
      <c r="C4" s="36">
        <f>SUM('2022'!P12)+('2023'!P12)+('2024'!P12)+'2025'!P12</f>
        <v>54.5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128</vt:i4>
      </vt:variant>
    </vt:vector>
  </HeadingPairs>
  <TitlesOfParts>
    <vt:vector size="134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2025-04-29T17:11:49Z</dcterms:modified>
</cp:coreProperties>
</file>