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wnloads\"/>
    </mc:Choice>
  </mc:AlternateContent>
  <bookViews>
    <workbookView xWindow="0" yWindow="0" windowWidth="18165" windowHeight="4478" activeTab="3"/>
  </bookViews>
  <sheets>
    <sheet name="2022" sheetId="12" r:id="rId1"/>
    <sheet name="2023" sheetId="14" r:id="rId2"/>
    <sheet name="2024" sheetId="15" r:id="rId3"/>
    <sheet name="2025" sheetId="16" r:id="rId4"/>
    <sheet name="Params" sheetId="10" r:id="rId5"/>
    <sheet name="Synthése" sheetId="13" r:id="rId6"/>
  </sheets>
  <definedNames>
    <definedName name="AOUT" localSheetId="1">'2023'!$J$3</definedName>
    <definedName name="AOUT" localSheetId="2">'2024'!$J$3</definedName>
    <definedName name="AOUT" localSheetId="3">'2025'!$J$3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 localSheetId="3">'2025'!#REF!</definedName>
    <definedName name="AVANCE_SUR_SALAIRE">#REF!</definedName>
    <definedName name="AVRIL" localSheetId="1">'2023'!$F$3</definedName>
    <definedName name="AVRIL" localSheetId="2">'2024'!$F$3</definedName>
    <definedName name="AVRIL" localSheetId="3">'2025'!$F$3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 localSheetId="3">'2025'!$B$10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'2024'!$B$16</definedName>
    <definedName name="CRA_ASTREINTE" localSheetId="3">'2025'!$B$16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 localSheetId="3">'2025'!$B$12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 localSheetId="3">'2025'!$B$11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'2024'!$B$15</definedName>
    <definedName name="CRA_SANS_SOLDE" localSheetId="3">'2025'!$B$15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 localSheetId="3">'2025'!$N$3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'2024'!$B$18</definedName>
    <definedName name="ENTREES" localSheetId="3">'2025'!$B$18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'2024'!$B$20</definedName>
    <definedName name="ENTREES_ASTREINTE" localSheetId="3">'2025'!$B$20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'2024'!$B$19</definedName>
    <definedName name="ENTREES_FACTURE" localSheetId="3">'2025'!$B$19</definedName>
    <definedName name="ENTREES_FACTURE">#REF!</definedName>
    <definedName name="FEVRIER" localSheetId="1">'2023'!$D$3</definedName>
    <definedName name="FEVRIER" localSheetId="2">'2024'!$D$3</definedName>
    <definedName name="FEVRIER" localSheetId="3">'2025'!$D$3</definedName>
    <definedName name="FEVRIER">'2022'!$D$3</definedName>
    <definedName name="FRAIS_KM" localSheetId="0">'2022'!$B$33</definedName>
    <definedName name="FRAIS_KM" localSheetId="1">'2023'!$B$36</definedName>
    <definedName name="FRAIS_KM" localSheetId="2">'2024'!$B$36</definedName>
    <definedName name="FRAIS_KM" localSheetId="3">'2025'!$B$36</definedName>
    <definedName name="JANVIER" localSheetId="1">'2023'!$C$3</definedName>
    <definedName name="JANVIER" localSheetId="2">'2024'!$C$3</definedName>
    <definedName name="JANVIER" localSheetId="3">'2025'!$C$3</definedName>
    <definedName name="JANVIER">'2022'!$C$3</definedName>
    <definedName name="JUILLET" localSheetId="1">'2023'!$I$3</definedName>
    <definedName name="JUILLET" localSheetId="2">'2024'!$I$3</definedName>
    <definedName name="JUILLET" localSheetId="3">'2025'!$I$3</definedName>
    <definedName name="JUILLET">'2022'!$I$3</definedName>
    <definedName name="JUIN" localSheetId="1">'2023'!$H$3</definedName>
    <definedName name="JUIN" localSheetId="2">'2024'!$H$3</definedName>
    <definedName name="JUIN" localSheetId="3">'2025'!$H$3</definedName>
    <definedName name="JUIN">'2022'!$H$3</definedName>
    <definedName name="MAI" localSheetId="1">'2023'!$G$3</definedName>
    <definedName name="MAI" localSheetId="2">'2024'!$G$3</definedName>
    <definedName name="MAI" localSheetId="3">'2025'!$G$3</definedName>
    <definedName name="MAI">'2022'!$G$3</definedName>
    <definedName name="MARS" localSheetId="1">'2023'!$E$3</definedName>
    <definedName name="MARS" localSheetId="2">'2024'!$E$3</definedName>
    <definedName name="MARS" localSheetId="3">'2025'!$E$3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 localSheetId="3">'2025'!$B$3</definedName>
    <definedName name="MOIS">#REF!</definedName>
    <definedName name="NOMBRE_KM" localSheetId="0">'2022'!$B$32</definedName>
    <definedName name="NOMBRE_KM" localSheetId="1">'2023'!$B$35</definedName>
    <definedName name="NOMBRE_KM" localSheetId="2">'2024'!$B$35</definedName>
    <definedName name="NOMBRE_KM" localSheetId="3">'2025'!$B$35</definedName>
    <definedName name="NOVEMBRE" localSheetId="0">'2022'!$M$3</definedName>
    <definedName name="NOVEMBRE" localSheetId="1">'2023'!$M$3</definedName>
    <definedName name="NOVEMBRE" localSheetId="2">'2024'!$M$3</definedName>
    <definedName name="NOVEMBRE" localSheetId="3">'2025'!$M$3</definedName>
    <definedName name="NOVEMBRE">#REF!</definedName>
    <definedName name="OCTOBRE" localSheetId="1">'2023'!$L$3</definedName>
    <definedName name="OCTOBRE" localSheetId="2">'2024'!$L$3</definedName>
    <definedName name="OCTOBRE" localSheetId="3">'2025'!$L$3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 localSheetId="3">'2025'!$B$5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 localSheetId="3">'2025'!$B$7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 localSheetId="3">'2025'!$B$6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 localSheetId="3">'2025'!$B$8</definedName>
    <definedName name="REPAS_SOLDE">#REF!</definedName>
    <definedName name="SEPTEMBRE" localSheetId="1">'2023'!$K$3</definedName>
    <definedName name="SEPTEMBRE" localSheetId="2">'2024'!$K$3</definedName>
    <definedName name="SEPTEMBRE" localSheetId="3">'2025'!$K$3</definedName>
    <definedName name="SEPTEMBRE">'2022'!$K$3</definedName>
    <definedName name="SOLDE" localSheetId="0">'2022'!$B$30</definedName>
    <definedName name="SOLDE" localSheetId="1">'2023'!$B$33</definedName>
    <definedName name="SOLDE" localSheetId="2">'2024'!$B$33</definedName>
    <definedName name="SOLDE" localSheetId="3">'2025'!$B$33</definedName>
    <definedName name="SORTIES" localSheetId="0">'2022'!$B$21</definedName>
    <definedName name="SORTIES" localSheetId="1">'2023'!$B$22</definedName>
    <definedName name="SORTIES" localSheetId="2">'2024'!$B$23</definedName>
    <definedName name="SORTIES" localSheetId="3">'2025'!$B$23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 localSheetId="3">'2025'!#REF!</definedName>
    <definedName name="SORTIES_ABONDEMENT">#REF!</definedName>
    <definedName name="SORTIES_CHARGES_SOCIALES_PATRONALES" localSheetId="0">'2022'!$B$23</definedName>
    <definedName name="SORTIES_CHARGES_SOCIALES_PATRONALES" localSheetId="1">'2023'!$B$24</definedName>
    <definedName name="SORTIES_CHARGES_SOCIALES_PATRONALES" localSheetId="2">'2024'!$B$25</definedName>
    <definedName name="SORTIES_CHARGES_SOCIALES_PATRONALES" localSheetId="3">'2025'!$B$25</definedName>
    <definedName name="SORTIES_CHARGES_SOCIALES_PATRONALES">#REF!</definedName>
    <definedName name="SORTIES_FRAIS_KM" localSheetId="0">'2022'!$B$24</definedName>
    <definedName name="SORTIES_FRAIS_KM" localSheetId="1">'2023'!$B$25</definedName>
    <definedName name="SORTIES_FRAIS_KM" localSheetId="2">'2024'!$B$26</definedName>
    <definedName name="SORTIES_FRAIS_KM" localSheetId="3">'2025'!$B$26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 localSheetId="3">'2025'!#REF!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 localSheetId="3">'2025'!#REF!</definedName>
    <definedName name="SORTIES_INTERESSEMENT">#REF!</definedName>
    <definedName name="SORTIES_SALAIRE_NET" localSheetId="0">'2022'!$B$22</definedName>
    <definedName name="SORTIES_SALAIRE_NET" localSheetId="1">'2023'!$B$23</definedName>
    <definedName name="SORTIES_SALAIRE_NET" localSheetId="2">'2024'!$B$24</definedName>
    <definedName name="SORTIES_SALAIRE_NET" localSheetId="3">'2025'!$B$24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 localSheetId="3">'2025'!$P$3</definedName>
    <definedName name="TOTAL">#REF!</definedName>
    <definedName name="TOTAL_ENTREES" localSheetId="0">'2022'!$B$19</definedName>
    <definedName name="TOTAL_ENTREES" localSheetId="1">'2023'!$B$20</definedName>
    <definedName name="TOTAL_ENTREES" localSheetId="2">'2024'!$B$21</definedName>
    <definedName name="TOTAL_ENTREES" localSheetId="3">'2025'!$B$21</definedName>
    <definedName name="TOTAL_ENTREES">#REF!</definedName>
    <definedName name="TOTAL_SORTIES" localSheetId="0">'2022'!$B$26</definedName>
    <definedName name="TOTAL_SORTIES" localSheetId="1">'2023'!$B$29</definedName>
    <definedName name="TOTAL_SORTIES" localSheetId="2">'2024'!$B$29</definedName>
    <definedName name="TOTAL_SORTIES" localSheetId="3">'2025'!$B$29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P36" i="16" l="1"/>
  <c r="P35" i="16"/>
  <c r="P38" i="16" s="1"/>
  <c r="P39" i="16" s="1"/>
  <c r="I33" i="16"/>
  <c r="H33" i="16"/>
  <c r="P31" i="16"/>
  <c r="N29" i="16"/>
  <c r="M29" i="16"/>
  <c r="L29" i="16"/>
  <c r="K29" i="16"/>
  <c r="J29" i="16"/>
  <c r="I29" i="16"/>
  <c r="H29" i="16"/>
  <c r="G29" i="16"/>
  <c r="G33" i="16" s="1"/>
  <c r="F29" i="16"/>
  <c r="P28" i="16"/>
  <c r="P27" i="16"/>
  <c r="P26" i="16"/>
  <c r="E25" i="16"/>
  <c r="P25" i="16" s="1"/>
  <c r="D25" i="16"/>
  <c r="D29" i="16" s="1"/>
  <c r="C25" i="16"/>
  <c r="C29" i="16" s="1"/>
  <c r="P24" i="16"/>
  <c r="N21" i="16"/>
  <c r="N33" i="16" s="1"/>
  <c r="M21" i="16"/>
  <c r="M33" i="16" s="1"/>
  <c r="L21" i="16"/>
  <c r="L33" i="16" s="1"/>
  <c r="K21" i="16"/>
  <c r="K33" i="16" s="1"/>
  <c r="J21" i="16"/>
  <c r="J33" i="16" s="1"/>
  <c r="I21" i="16"/>
  <c r="H21" i="16"/>
  <c r="G21" i="16"/>
  <c r="F21" i="16"/>
  <c r="D21" i="16"/>
  <c r="D33" i="16" s="1"/>
  <c r="C21" i="16"/>
  <c r="P20" i="16"/>
  <c r="E19" i="16"/>
  <c r="E21" i="16" s="1"/>
  <c r="D19" i="16"/>
  <c r="C19" i="16"/>
  <c r="P19" i="16" s="1"/>
  <c r="P16" i="16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8" i="16" s="1"/>
  <c r="P7" i="16"/>
  <c r="P6" i="16"/>
  <c r="P38" i="15"/>
  <c r="P36" i="15"/>
  <c r="P39" i="15" s="1"/>
  <c r="P35" i="15"/>
  <c r="P31" i="15"/>
  <c r="L29" i="15"/>
  <c r="K29" i="15"/>
  <c r="G29" i="15"/>
  <c r="D29" i="15"/>
  <c r="C29" i="15"/>
  <c r="P28" i="15"/>
  <c r="P27" i="15"/>
  <c r="C27" i="15"/>
  <c r="P26" i="15"/>
  <c r="N25" i="15"/>
  <c r="N29" i="15" s="1"/>
  <c r="N33" i="15" s="1"/>
  <c r="M25" i="15"/>
  <c r="M29" i="15" s="1"/>
  <c r="L25" i="15"/>
  <c r="K25" i="15"/>
  <c r="J25" i="15"/>
  <c r="J29" i="15" s="1"/>
  <c r="I25" i="15"/>
  <c r="I29" i="15" s="1"/>
  <c r="H25" i="15"/>
  <c r="H29" i="15" s="1"/>
  <c r="G25" i="15"/>
  <c r="F25" i="15"/>
  <c r="F29" i="15" s="1"/>
  <c r="F33" i="15" s="1"/>
  <c r="E25" i="15"/>
  <c r="E29" i="15" s="1"/>
  <c r="D25" i="15"/>
  <c r="C25" i="15"/>
  <c r="P25" i="15" s="1"/>
  <c r="P24" i="15"/>
  <c r="N21" i="15"/>
  <c r="L21" i="15"/>
  <c r="L33" i="15" s="1"/>
  <c r="K21" i="15"/>
  <c r="K33" i="15" s="1"/>
  <c r="F21" i="15"/>
  <c r="D21" i="15"/>
  <c r="D33" i="15" s="1"/>
  <c r="C21" i="15"/>
  <c r="C33" i="15" s="1"/>
  <c r="P20" i="15"/>
  <c r="N19" i="15"/>
  <c r="M19" i="15"/>
  <c r="M21" i="15" s="1"/>
  <c r="L19" i="15"/>
  <c r="K19" i="15"/>
  <c r="J19" i="15"/>
  <c r="J21" i="15" s="1"/>
  <c r="I19" i="15"/>
  <c r="I21" i="15" s="1"/>
  <c r="I33" i="15" s="1"/>
  <c r="H19" i="15"/>
  <c r="H21" i="15" s="1"/>
  <c r="G19" i="15"/>
  <c r="G21" i="15" s="1"/>
  <c r="G33" i="15" s="1"/>
  <c r="F19" i="15"/>
  <c r="E19" i="15"/>
  <c r="E21" i="15" s="1"/>
  <c r="D19" i="15"/>
  <c r="C19" i="15"/>
  <c r="P19" i="15" s="1"/>
  <c r="P16" i="15"/>
  <c r="P15" i="15"/>
  <c r="P14" i="15"/>
  <c r="P13" i="15"/>
  <c r="P12" i="15"/>
  <c r="P11" i="15"/>
  <c r="P8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6" i="14"/>
  <c r="P35" i="14"/>
  <c r="P31" i="14"/>
  <c r="N29" i="14"/>
  <c r="K29" i="14"/>
  <c r="J29" i="14"/>
  <c r="F29" i="14"/>
  <c r="C29" i="14"/>
  <c r="P28" i="14"/>
  <c r="P27" i="14"/>
  <c r="P26" i="14"/>
  <c r="P25" i="14"/>
  <c r="N24" i="14"/>
  <c r="M24" i="14"/>
  <c r="M29" i="14" s="1"/>
  <c r="M33" i="14" s="1"/>
  <c r="L24" i="14"/>
  <c r="L29" i="14" s="1"/>
  <c r="K24" i="14"/>
  <c r="J24" i="14"/>
  <c r="I24" i="14"/>
  <c r="I29" i="14" s="1"/>
  <c r="H24" i="14"/>
  <c r="H29" i="14" s="1"/>
  <c r="G24" i="14"/>
  <c r="G29" i="14" s="1"/>
  <c r="F24" i="14"/>
  <c r="E24" i="14"/>
  <c r="E29" i="14" s="1"/>
  <c r="E33" i="14" s="1"/>
  <c r="D24" i="14"/>
  <c r="P24" i="14" s="1"/>
  <c r="C24" i="14"/>
  <c r="P23" i="14"/>
  <c r="M20" i="14"/>
  <c r="K20" i="14"/>
  <c r="K33" i="14" s="1"/>
  <c r="J20" i="14"/>
  <c r="J33" i="14" s="1"/>
  <c r="E20" i="14"/>
  <c r="C20" i="14"/>
  <c r="C33" i="14" s="1"/>
  <c r="P19" i="14"/>
  <c r="P18" i="14"/>
  <c r="N17" i="14"/>
  <c r="N20" i="14" s="1"/>
  <c r="N33" i="14" s="1"/>
  <c r="M17" i="14"/>
  <c r="L17" i="14"/>
  <c r="L20" i="14" s="1"/>
  <c r="L33" i="14" s="1"/>
  <c r="K17" i="14"/>
  <c r="J17" i="14"/>
  <c r="I17" i="14"/>
  <c r="I20" i="14" s="1"/>
  <c r="I33" i="14" s="1"/>
  <c r="H17" i="14"/>
  <c r="H20" i="14" s="1"/>
  <c r="H33" i="14" s="1"/>
  <c r="G17" i="14"/>
  <c r="G20" i="14" s="1"/>
  <c r="G33" i="14" s="1"/>
  <c r="F17" i="14"/>
  <c r="F20" i="14" s="1"/>
  <c r="F33" i="14" s="1"/>
  <c r="E17" i="14"/>
  <c r="D17" i="14"/>
  <c r="D20" i="14" s="1"/>
  <c r="C17" i="14"/>
  <c r="P17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33" i="12"/>
  <c r="P32" i="12"/>
  <c r="K30" i="12"/>
  <c r="F30" i="12"/>
  <c r="C30" i="12"/>
  <c r="P28" i="12"/>
  <c r="L26" i="12"/>
  <c r="K26" i="12"/>
  <c r="J26" i="12"/>
  <c r="J30" i="12" s="1"/>
  <c r="I26" i="12"/>
  <c r="H26" i="12"/>
  <c r="G26" i="12"/>
  <c r="F26" i="12"/>
  <c r="E26" i="12"/>
  <c r="D26" i="12"/>
  <c r="C26" i="12"/>
  <c r="P26" i="12" s="1"/>
  <c r="P25" i="12"/>
  <c r="P24" i="12"/>
  <c r="P23" i="12"/>
  <c r="N23" i="12"/>
  <c r="N26" i="12" s="1"/>
  <c r="N30" i="12" s="1"/>
  <c r="M23" i="12"/>
  <c r="M26" i="12" s="1"/>
  <c r="P22" i="12"/>
  <c r="N19" i="12"/>
  <c r="M19" i="12"/>
  <c r="M30" i="12" s="1"/>
  <c r="L19" i="12"/>
  <c r="L30" i="12" s="1"/>
  <c r="K19" i="12"/>
  <c r="J19" i="12"/>
  <c r="I19" i="12"/>
  <c r="I30" i="12" s="1"/>
  <c r="H19" i="12"/>
  <c r="H30" i="12" s="1"/>
  <c r="G19" i="12"/>
  <c r="G30" i="12" s="1"/>
  <c r="F19" i="12"/>
  <c r="E19" i="12"/>
  <c r="E30" i="12" s="1"/>
  <c r="D19" i="12"/>
  <c r="D30" i="12" s="1"/>
  <c r="C19" i="12"/>
  <c r="P18" i="12"/>
  <c r="P17" i="12"/>
  <c r="P14" i="12"/>
  <c r="P13" i="12"/>
  <c r="P12" i="12"/>
  <c r="C4" i="13" s="1"/>
  <c r="P11" i="12"/>
  <c r="N8" i="12"/>
  <c r="M8" i="12"/>
  <c r="L8" i="12"/>
  <c r="K8" i="12"/>
  <c r="J8" i="12"/>
  <c r="I8" i="12"/>
  <c r="H8" i="12"/>
  <c r="G8" i="12"/>
  <c r="P8" i="12" s="1"/>
  <c r="F8" i="12"/>
  <c r="E8" i="12"/>
  <c r="D8" i="12"/>
  <c r="C8" i="12"/>
  <c r="P7" i="12"/>
  <c r="P6" i="12"/>
  <c r="F33" i="16" l="1"/>
  <c r="H33" i="15"/>
  <c r="P21" i="16"/>
  <c r="J33" i="15"/>
  <c r="P30" i="12"/>
  <c r="P29" i="16"/>
  <c r="E33" i="15"/>
  <c r="P33" i="15" s="1"/>
  <c r="M33" i="15"/>
  <c r="P29" i="15"/>
  <c r="P19" i="12"/>
  <c r="E29" i="16"/>
  <c r="E33" i="16" s="1"/>
  <c r="D29" i="14"/>
  <c r="P29" i="14" s="1"/>
  <c r="C33" i="16"/>
  <c r="P21" i="15"/>
  <c r="P20" i="14"/>
  <c r="D33" i="14" l="1"/>
  <c r="P33" i="14" s="1"/>
  <c r="P33" i="16"/>
  <c r="C3" i="13" s="1"/>
</calcChain>
</file>

<file path=xl/comments1.xml><?xml version="1.0" encoding="utf-8"?>
<comments xmlns="http://schemas.openxmlformats.org/spreadsheetml/2006/main">
  <authors>
    <author>youss</author>
  </authors>
  <commentList>
    <comment ref="M25" authorId="0" shapeId="0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à déduire du salaire Décembre 2022/Février 2023/Mars 2023/Avril 2023 à raison de 500 euros par mois</t>
        </r>
      </text>
    </comment>
    <comment ref="N28" authorId="0" shapeId="0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Déduction du Salaire
Remboursement Acompte 2000 euros Novembre 2022</t>
        </r>
      </text>
    </comment>
  </commentList>
</comments>
</file>

<file path=xl/comments2.xml><?xml version="1.0" encoding="utf-8"?>
<comments xmlns="http://schemas.openxmlformats.org/spreadsheetml/2006/main">
  <authors>
    <author>PC-HOUDA</author>
    <author>youss</author>
  </authors>
  <commentList>
    <comment ref="L18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M19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Remboursement par Virement bancaire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Rembousement Facture Formation à déduire de la cagnotte
</t>
        </r>
      </text>
    </comment>
    <comment ref="L28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 partir de Juin 2024 </t>
        </r>
      </text>
    </comment>
    <comment ref="M28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Remboursement par virement bancaire</t>
        </r>
      </text>
    </comment>
    <comment ref="D31" authorId="1" shapeId="0">
      <text>
        <r>
          <rPr>
            <b/>
            <sz val="11"/>
            <color indexed="81"/>
            <rFont val="Tahoma"/>
            <family val="2"/>
          </rPr>
          <t xml:space="preserve">youss:
</t>
        </r>
        <r>
          <rPr>
            <sz val="11"/>
            <color indexed="81"/>
            <rFont val="Tahoma"/>
            <family val="2"/>
          </rPr>
          <t>Déduction du Salaire
Remboursement Acompte 2000 euros Novembre 2022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du Salaire
Remboursement Acompte 2000 euros Novembre 2022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du Salaire
Remboursement Acompte 2000 euros Novembre 2022</t>
        </r>
      </text>
    </comment>
  </commentList>
</comments>
</file>

<file path=xl/comments3.xml><?xml version="1.0" encoding="utf-8"?>
<comments xmlns="http://schemas.openxmlformats.org/spreadsheetml/2006/main">
  <authors>
    <author>PC-HOUDA</author>
  </authors>
  <commentList>
    <comment ref="F28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Remboursement a partir du 12/2024 1000E/mois</t>
        </r>
      </text>
    </comment>
    <comment ref="M28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de 1000£/ mois après du remboursement de l'acompte actuel</t>
        </r>
      </text>
    </comment>
  </commentList>
</comments>
</file>

<file path=xl/sharedStrings.xml><?xml version="1.0" encoding="utf-8"?>
<sst xmlns="http://schemas.openxmlformats.org/spreadsheetml/2006/main" count="175" uniqueCount="55">
  <si>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</si>
  <si>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</si>
  <si>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</si>
  <si>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</si>
  <si>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</si>
  <si>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</si>
  <si>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</si>
  <si>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</si>
  <si>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</si>
  <si>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</si>
  <si>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</si>
  <si>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</si>
  <si>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</si>
  <si>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</si>
  <si>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</si>
  <si>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</si>
  <si>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</si>
  <si>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</si>
  <si>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</si>
  <si>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</si>
  <si>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</si>
  <si>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</si>
  <si>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</si>
  <si>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</si>
  <si>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</si>
  <si>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</si>
  <si>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</si>
  <si>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</si>
  <si>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</si>
  <si>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</si>
  <si>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</si>
  <si>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</si>
  <si>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</si>
  <si>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</si>
  <si>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</si>
  <si>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</si>
  <si>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</si>
  <si>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</si>
  <si>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</si>
  <si>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</si>
  <si>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</si>
  <si>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Acompte Versé</t>
  </si>
  <si>
    <t>Acompte Remboursé</t>
  </si>
  <si>
    <t>Frais Formation</t>
  </si>
  <si>
    <t>TJM (Novembre 2022)</t>
  </si>
  <si>
    <t>TJM (Février 2023)</t>
  </si>
  <si>
    <t>TJM (Août 2023)</t>
  </si>
  <si>
    <t>Acompte versé</t>
  </si>
  <si>
    <t>Remboursement Acompte</t>
  </si>
  <si>
    <t>Achat HT</t>
  </si>
  <si>
    <t>Paternité</t>
  </si>
  <si>
    <t>Exceptionnel</t>
  </si>
  <si>
    <t>Frais KM annuel à payer</t>
  </si>
  <si>
    <t>Régularisation Frais KM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</si>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</sst>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0" fillId="12" borderId="1" xfId="0" applyFill="1" applyBorder="1" applyProtection="1">
      <protection locked="0"/>
    </xf>
    <xf numFmtId="0" fontId="0" fillId="12" borderId="1" xfId="0" applyFill="1" applyBorder="1"/>
    <xf numFmtId="0" fontId="1" fillId="12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12" borderId="1" xfId="0" applyFill="1" applyBorder="1" applyAlignment="1">
      <alignment horizontal="center"/>
    </xf>
    <xf numFmtId="4" fontId="4" fillId="0" borderId="2" xfId="0" applyNumberFormat="1" applyFont="1" applyBorder="1"/>
    <xf numFmtId="4" fontId="4" fillId="13" borderId="2" xfId="0" applyNumberFormat="1" applyFont="1" applyFill="1" applyBorder="1"/>
    <xf numFmtId="4" fontId="4" fillId="13" borderId="5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33"/>
  <sheetViews>
    <sheetView topLeftCell="B3" workbookViewId="0">
      <selection activeCell="M25" sqref="M2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73" t="s">
        <v>9</v>
      </c>
    </row>
    <row r="2" spans="2:16" x14ac:dyDescent="0.45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>
        <v>19</v>
      </c>
      <c r="N6" s="37">
        <v>19</v>
      </c>
      <c r="O6" s="36"/>
      <c r="P6" s="58">
        <f>SUM(C6:N6)</f>
        <v>38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>
        <v>20</v>
      </c>
      <c r="N7" s="37">
        <v>22</v>
      </c>
      <c r="O7" s="36"/>
      <c r="P7" s="58">
        <f>SUM(C7:N7)</f>
        <v>42</v>
      </c>
    </row>
    <row r="8" spans="2:16" x14ac:dyDescent="0.45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1</v>
      </c>
      <c r="N8" s="64">
        <f t="shared" si="0"/>
        <v>3</v>
      </c>
      <c r="O8" s="36"/>
      <c r="P8" s="58">
        <f>SUM(C8:N8)</f>
        <v>4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v>20</v>
      </c>
      <c r="N11" s="11">
        <v>22</v>
      </c>
      <c r="P11" s="59">
        <f>SUM(C11:N11)</f>
        <v>42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>
        <v>10413</v>
      </c>
      <c r="N17" s="10">
        <v>11461.800000000001</v>
      </c>
      <c r="O17" s="4"/>
      <c r="P17" s="41">
        <f>SUM(C17:N17)</f>
        <v>21874.800000000003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10413</v>
      </c>
      <c r="N19" s="28">
        <f t="shared" si="1"/>
        <v>11461.800000000001</v>
      </c>
      <c r="O19" s="5"/>
      <c r="P19" s="42">
        <f>SUM(C19:O19)</f>
        <v>21874.800000000003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>
        <v>5770.62</v>
      </c>
      <c r="N22" s="10">
        <v>5270.62</v>
      </c>
      <c r="O22" s="4"/>
      <c r="P22" s="43">
        <f>SUM(C22:N22)</f>
        <v>11041.24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>
        <f>1244.65+2315.56</f>
        <v>3560.21</v>
      </c>
      <c r="N23" s="10">
        <f>1244.65+2315.56</f>
        <v>3560.21</v>
      </c>
      <c r="O23" s="4"/>
      <c r="P23" s="43">
        <f>SUM(C23:N23)</f>
        <v>7120.42</v>
      </c>
    </row>
    <row r="24" spans="2:16" x14ac:dyDescent="0.45">
      <c r="B24" s="55" t="s">
        <v>40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>
        <v>568.6</v>
      </c>
      <c r="N24" s="10">
        <v>615.46</v>
      </c>
      <c r="O24" s="4"/>
      <c r="P24" s="43">
        <f>SUM(C24:N24)</f>
        <v>1184.06</v>
      </c>
    </row>
    <row r="25" spans="2:16" x14ac:dyDescent="0.45">
      <c r="B25" s="55" t="s">
        <v>41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71">
        <v>2000</v>
      </c>
      <c r="N25" s="56"/>
      <c r="O25" s="4"/>
      <c r="P25" s="43">
        <f>SUM(C25:N25)</f>
        <v>2000</v>
      </c>
    </row>
    <row r="26" spans="2:16" x14ac:dyDescent="0.45">
      <c r="B26" s="8" t="s">
        <v>3</v>
      </c>
      <c r="C26" s="44">
        <f t="shared" ref="C26" si="2">SUM(C22:C25)</f>
        <v>0</v>
      </c>
      <c r="D26" s="44">
        <f t="shared" ref="D26" si="3">SUM(D22:D25)</f>
        <v>0</v>
      </c>
      <c r="E26" s="44">
        <f t="shared" ref="E26" si="4">SUM(E22:E25)</f>
        <v>0</v>
      </c>
      <c r="F26" s="44">
        <f t="shared" ref="F26" si="5">SUM(F22:F25)</f>
        <v>0</v>
      </c>
      <c r="G26" s="44">
        <f t="shared" ref="G26" si="6">SUM(G22:G25)</f>
        <v>0</v>
      </c>
      <c r="H26" s="44">
        <f t="shared" ref="H26" si="7">SUM(H22:H25)</f>
        <v>0</v>
      </c>
      <c r="I26" s="44">
        <f t="shared" ref="I26" si="8">SUM(I22:I25)</f>
        <v>0</v>
      </c>
      <c r="J26" s="44">
        <f t="shared" ref="J26" si="9">SUM(J22:J25)</f>
        <v>0</v>
      </c>
      <c r="K26" s="44">
        <f t="shared" ref="K26" si="10">SUM(K22:K25)</f>
        <v>0</v>
      </c>
      <c r="L26" s="44">
        <f t="shared" ref="L26" si="11">SUM(L22:L25)</f>
        <v>0</v>
      </c>
      <c r="M26" s="44">
        <f>SUM(M22:M25)</f>
        <v>11899.43</v>
      </c>
      <c r="N26" s="44">
        <f>SUM(N22:N25)</f>
        <v>9446.2900000000009</v>
      </c>
      <c r="O26" s="4"/>
      <c r="P26" s="61">
        <f>SUM(C26:N26)</f>
        <v>21345.72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65" t="s">
        <v>42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9">
        <v>500</v>
      </c>
      <c r="P28" s="67">
        <f>SUM(C28:N28)</f>
        <v>500</v>
      </c>
    </row>
    <row r="29" spans="2:16" x14ac:dyDescent="0.45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45">
      <c r="B30" s="46" t="s">
        <v>36</v>
      </c>
      <c r="C30" s="47">
        <f t="shared" ref="C30:N30" si="12">C19-C26</f>
        <v>0</v>
      </c>
      <c r="D30" s="47">
        <f t="shared" si="12"/>
        <v>0</v>
      </c>
      <c r="E30" s="47">
        <f t="shared" si="12"/>
        <v>0</v>
      </c>
      <c r="F30" s="47">
        <f t="shared" si="12"/>
        <v>0</v>
      </c>
      <c r="G30" s="47">
        <f t="shared" si="12"/>
        <v>0</v>
      </c>
      <c r="H30" s="47">
        <f t="shared" si="12"/>
        <v>0</v>
      </c>
      <c r="I30" s="47">
        <f t="shared" si="12"/>
        <v>0</v>
      </c>
      <c r="J30" s="47">
        <f t="shared" si="12"/>
        <v>0</v>
      </c>
      <c r="K30" s="47">
        <f t="shared" si="12"/>
        <v>0</v>
      </c>
      <c r="L30" s="47">
        <f t="shared" si="12"/>
        <v>0</v>
      </c>
      <c r="M30" s="47">
        <f t="shared" si="12"/>
        <v>-1486.4300000000003</v>
      </c>
      <c r="N30" s="47">
        <f t="shared" si="12"/>
        <v>2015.5100000000002</v>
      </c>
      <c r="P30" s="60">
        <f>SUM(C30:O30)</f>
        <v>529.07999999999993</v>
      </c>
    </row>
    <row r="32" spans="2:16" x14ac:dyDescent="0.45">
      <c r="B32" s="63" t="s">
        <v>37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>
        <v>1320</v>
      </c>
      <c r="N32" s="54">
        <v>1452</v>
      </c>
      <c r="P32" s="62">
        <f>SUM(C32:N32)</f>
        <v>2772</v>
      </c>
    </row>
    <row r="33" spans="2:16" x14ac:dyDescent="0.45">
      <c r="B33" s="63" t="s">
        <v>38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>
        <v>568.6</v>
      </c>
      <c r="N33" s="54">
        <v>615.46</v>
      </c>
      <c r="P33" s="62">
        <f>SUM(C33:N33)</f>
        <v>1184.06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39"/>
  <sheetViews>
    <sheetView topLeftCell="B5" workbookViewId="0">
      <selection activeCell="L28" sqref="L28"/>
    </sheetView>
  </sheetViews>
  <sheetFormatPr baseColWidth="10" defaultRowHeight="14.25" x14ac:dyDescent="0.45"/>
  <cols>
    <col min="1" max="1" width="3" customWidth="1"/>
    <col min="2" max="2" width="28" customWidth="1"/>
    <col min="14" max="14" width="18.796875" bestFit="1" customWidth="1"/>
    <col min="15" max="15" width="4" customWidth="1"/>
    <col min="16" max="16" width="11" style="48" customWidth="1"/>
  </cols>
  <sheetData>
    <row r="1" spans="2:16" x14ac:dyDescent="0.45">
      <c r="B1" s="73" t="s">
        <v>9</v>
      </c>
    </row>
    <row r="2" spans="2:16" x14ac:dyDescent="0.45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8">
        <f>SUM(C6:N6)</f>
        <v>228</v>
      </c>
    </row>
    <row r="7" spans="2:16" x14ac:dyDescent="0.45">
      <c r="B7" s="9" t="s">
        <v>21</v>
      </c>
      <c r="C7" s="37">
        <v>22</v>
      </c>
      <c r="D7" s="37">
        <v>20</v>
      </c>
      <c r="E7" s="37">
        <v>22</v>
      </c>
      <c r="F7" s="37">
        <v>18</v>
      </c>
      <c r="G7" s="37">
        <v>15</v>
      </c>
      <c r="H7" s="37">
        <v>22</v>
      </c>
      <c r="I7" s="37">
        <v>19</v>
      </c>
      <c r="J7" s="37">
        <v>21.5</v>
      </c>
      <c r="K7" s="37">
        <v>20</v>
      </c>
      <c r="L7" s="37">
        <v>17</v>
      </c>
      <c r="M7" s="37">
        <v>12</v>
      </c>
      <c r="N7" s="37">
        <v>20</v>
      </c>
      <c r="O7" s="36"/>
      <c r="P7" s="58">
        <f>SUM(C7:N7)</f>
        <v>228.5</v>
      </c>
    </row>
    <row r="8" spans="2:16" x14ac:dyDescent="0.45">
      <c r="B8" s="18" t="s">
        <v>22</v>
      </c>
      <c r="C8" s="64">
        <f t="shared" ref="C8:N8" si="0">C7-C6</f>
        <v>3</v>
      </c>
      <c r="D8" s="64">
        <f t="shared" si="0"/>
        <v>1</v>
      </c>
      <c r="E8" s="64">
        <f t="shared" si="0"/>
        <v>3</v>
      </c>
      <c r="F8" s="64">
        <f t="shared" si="0"/>
        <v>-1</v>
      </c>
      <c r="G8" s="64">
        <f t="shared" si="0"/>
        <v>-4</v>
      </c>
      <c r="H8" s="64">
        <f t="shared" si="0"/>
        <v>3</v>
      </c>
      <c r="I8" s="64">
        <f t="shared" si="0"/>
        <v>0</v>
      </c>
      <c r="J8" s="64">
        <f t="shared" si="0"/>
        <v>2.5</v>
      </c>
      <c r="K8" s="64">
        <f t="shared" si="0"/>
        <v>1</v>
      </c>
      <c r="L8" s="64">
        <f t="shared" si="0"/>
        <v>-2</v>
      </c>
      <c r="M8" s="64">
        <f t="shared" si="0"/>
        <v>-7</v>
      </c>
      <c r="N8" s="64">
        <f t="shared" si="0"/>
        <v>1</v>
      </c>
      <c r="O8" s="36"/>
      <c r="P8" s="58">
        <f>SUM(C8:N8)</f>
        <v>0.5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21.5</v>
      </c>
      <c r="D11" s="11">
        <v>20</v>
      </c>
      <c r="E11" s="11">
        <v>22</v>
      </c>
      <c r="F11" s="11">
        <v>18</v>
      </c>
      <c r="G11" s="11">
        <v>15</v>
      </c>
      <c r="H11" s="11">
        <v>22</v>
      </c>
      <c r="I11" s="11">
        <v>19</v>
      </c>
      <c r="J11" s="11">
        <v>21.5</v>
      </c>
      <c r="K11" s="11">
        <v>19.5</v>
      </c>
      <c r="L11" s="11">
        <v>17</v>
      </c>
      <c r="M11" s="11">
        <v>12</v>
      </c>
      <c r="N11" s="11">
        <v>20</v>
      </c>
      <c r="P11" s="59">
        <f>SUM(C11:N11)</f>
        <v>227.5</v>
      </c>
    </row>
    <row r="12" spans="2:16" x14ac:dyDescent="0.45">
      <c r="B12" s="9" t="s">
        <v>16</v>
      </c>
      <c r="C12" s="12">
        <v>0.5</v>
      </c>
      <c r="D12" s="12"/>
      <c r="E12" s="12">
        <v>1</v>
      </c>
      <c r="F12" s="12">
        <v>1</v>
      </c>
      <c r="G12" s="12">
        <v>5</v>
      </c>
      <c r="H12" s="12"/>
      <c r="I12" s="12">
        <v>1</v>
      </c>
      <c r="J12" s="12">
        <v>0.5</v>
      </c>
      <c r="K12" s="12">
        <v>1.5</v>
      </c>
      <c r="L12" s="12">
        <v>6</v>
      </c>
      <c r="M12" s="12">
        <v>9</v>
      </c>
      <c r="N12" s="12"/>
      <c r="P12" s="59">
        <f>SUM(C12:N12)</f>
        <v>25.5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>
        <v>1</v>
      </c>
      <c r="M14" s="23"/>
      <c r="N14" s="23"/>
      <c r="P14" s="59">
        <f>SUM(C14:N14)</f>
        <v>1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11199.6</v>
      </c>
      <c r="D17" s="10">
        <f>D11*Params!$C$6*(1-Params!$C$3)-Params!$C$4</f>
        <v>10965</v>
      </c>
      <c r="E17" s="10">
        <f>E11*Params!$C$6*(1-Params!$C$3)-Params!$C$4</f>
        <v>12069</v>
      </c>
      <c r="F17" s="10">
        <f>F11*Params!$C$6*(1-Params!$C$3)-Params!$C$4</f>
        <v>9861</v>
      </c>
      <c r="G17" s="10">
        <f>G11*Params!$C$6*(1-Params!$C$3)-Params!$C$4</f>
        <v>8205</v>
      </c>
      <c r="H17" s="10">
        <f>H11*Params!$C$6*(1-Params!$C$3)-Params!$C$4</f>
        <v>12069</v>
      </c>
      <c r="I17" s="10">
        <f>I11*Params!$C$6*(1-Params!$C$3)-Params!$C$4</f>
        <v>10413</v>
      </c>
      <c r="J17" s="10">
        <f>(4*Params!$C$6)+(17.5*Params!C7)*(1-Params!$C$3)-Params!$C$4</f>
        <v>12790</v>
      </c>
      <c r="K17" s="10">
        <f>K11*Params!$C$7*(1-Params!$C$3)-Params!$C$4</f>
        <v>11586</v>
      </c>
      <c r="L17" s="10">
        <f>L11*Params!$C$7*(1-Params!$C$3)-Params!$C$4</f>
        <v>10091</v>
      </c>
      <c r="M17" s="10">
        <f>M11*Params!$C$7*(1-Params!$C$3)-Params!$C$4</f>
        <v>7101</v>
      </c>
      <c r="N17" s="10">
        <f>N11*Params!$C$7*(1-Params!$C$3)-Params!$C$4</f>
        <v>11885</v>
      </c>
      <c r="O17" s="4"/>
      <c r="P17" s="41">
        <f>SUM(C17:N17)</f>
        <v>128234.6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>
        <v>975</v>
      </c>
      <c r="M18" s="10"/>
      <c r="N18" s="10"/>
      <c r="O18" s="4"/>
      <c r="P18" s="41">
        <f>SUM(C18:N18)</f>
        <v>975</v>
      </c>
    </row>
    <row r="19" spans="2:16" x14ac:dyDescent="0.45">
      <c r="B19" s="55" t="s">
        <v>48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>
        <v>3000</v>
      </c>
      <c r="N19" s="56"/>
      <c r="O19" s="4"/>
      <c r="P19" s="41">
        <f>SUM(C19:N19)</f>
        <v>3000</v>
      </c>
    </row>
    <row r="20" spans="2:16" x14ac:dyDescent="0.45">
      <c r="B20" s="27" t="s">
        <v>2</v>
      </c>
      <c r="C20" s="28">
        <f t="shared" ref="C20:N20" si="1">SUM(C17:C18)</f>
        <v>11199.6</v>
      </c>
      <c r="D20" s="28">
        <f t="shared" si="1"/>
        <v>10965</v>
      </c>
      <c r="E20" s="28">
        <f t="shared" si="1"/>
        <v>12069</v>
      </c>
      <c r="F20" s="28">
        <f t="shared" si="1"/>
        <v>9861</v>
      </c>
      <c r="G20" s="28">
        <f t="shared" si="1"/>
        <v>8205</v>
      </c>
      <c r="H20" s="28">
        <f t="shared" si="1"/>
        <v>12069</v>
      </c>
      <c r="I20" s="28">
        <f t="shared" si="1"/>
        <v>10413</v>
      </c>
      <c r="J20" s="28">
        <f t="shared" si="1"/>
        <v>12790</v>
      </c>
      <c r="K20" s="28">
        <f t="shared" si="1"/>
        <v>11586</v>
      </c>
      <c r="L20" s="28">
        <f t="shared" si="1"/>
        <v>11066</v>
      </c>
      <c r="M20" s="28">
        <f>SUM(M17:M19)</f>
        <v>10101</v>
      </c>
      <c r="N20" s="28">
        <f t="shared" si="1"/>
        <v>11885</v>
      </c>
      <c r="O20" s="5"/>
      <c r="P20" s="42">
        <f>SUM(C20:N20)</f>
        <v>132209.60000000001</v>
      </c>
    </row>
    <row r="21" spans="2:16" x14ac:dyDescent="0.4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4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45">
      <c r="B23" s="9" t="s">
        <v>7</v>
      </c>
      <c r="C23" s="10">
        <v>5765.14</v>
      </c>
      <c r="D23" s="10">
        <v>5476.07</v>
      </c>
      <c r="E23" s="10">
        <v>5476.07</v>
      </c>
      <c r="F23" s="10">
        <v>5476.07</v>
      </c>
      <c r="G23" s="10">
        <v>5976.07</v>
      </c>
      <c r="H23" s="10">
        <v>5976.07</v>
      </c>
      <c r="I23" s="10">
        <v>5976.07</v>
      </c>
      <c r="J23" s="10">
        <v>11404.26</v>
      </c>
      <c r="K23" s="10">
        <v>5976.07</v>
      </c>
      <c r="L23" s="10">
        <v>5976.07</v>
      </c>
      <c r="M23" s="10">
        <v>5976.07</v>
      </c>
      <c r="N23" s="10">
        <v>5976.07</v>
      </c>
      <c r="O23" s="4"/>
      <c r="P23" s="43">
        <f t="shared" ref="P23:P29" si="2">SUM(C23:N23)</f>
        <v>75430.100000000006</v>
      </c>
    </row>
    <row r="24" spans="2:16" x14ac:dyDescent="0.45">
      <c r="B24" s="9" t="s">
        <v>8</v>
      </c>
      <c r="C24" s="10">
        <f>1250.13+2318.04</f>
        <v>3568.17</v>
      </c>
      <c r="D24" s="10">
        <f>1344.15+2528.5</f>
        <v>3872.65</v>
      </c>
      <c r="E24" s="10">
        <f>1344.15+2528.13</f>
        <v>3872.28</v>
      </c>
      <c r="F24" s="10">
        <f>1344.15+2528.95</f>
        <v>3873.1</v>
      </c>
      <c r="G24" s="10">
        <f>1344.15+2532</f>
        <v>3876.15</v>
      </c>
      <c r="H24" s="10">
        <f>1344.15+2533.8</f>
        <v>3877.9500000000003</v>
      </c>
      <c r="I24" s="10">
        <f>1344.15+2529.65</f>
        <v>3873.8</v>
      </c>
      <c r="J24" s="10">
        <f>1915.96+2530.47</f>
        <v>4446.43</v>
      </c>
      <c r="K24" s="10">
        <f>1344.15+2530.07</f>
        <v>3874.2200000000003</v>
      </c>
      <c r="L24" s="10">
        <f>1344.15+2530.89</f>
        <v>3875.04</v>
      </c>
      <c r="M24" s="10">
        <f>1344.15+2534.63</f>
        <v>3878.78</v>
      </c>
      <c r="N24" s="10">
        <f>1344.15+2537.12</f>
        <v>3881.27</v>
      </c>
      <c r="O24" s="4"/>
      <c r="P24" s="43">
        <f t="shared" si="2"/>
        <v>46769.84</v>
      </c>
    </row>
    <row r="25" spans="2:16" x14ac:dyDescent="0.45">
      <c r="B25" s="55" t="s">
        <v>40</v>
      </c>
      <c r="C25" s="10">
        <v>592.03</v>
      </c>
      <c r="D25" s="10">
        <v>568.6</v>
      </c>
      <c r="E25" s="10">
        <v>592.03</v>
      </c>
      <c r="F25" s="10">
        <v>544.31200000000001</v>
      </c>
      <c r="G25" s="10">
        <v>470.26</v>
      </c>
      <c r="H25" s="10">
        <v>643.048</v>
      </c>
      <c r="I25" s="10">
        <v>568.99599999999998</v>
      </c>
      <c r="J25" s="10">
        <v>643.048</v>
      </c>
      <c r="K25" s="10">
        <v>568.99599999999998</v>
      </c>
      <c r="L25" s="10">
        <v>544.31200000000001</v>
      </c>
      <c r="M25" s="10">
        <v>396.20800000000003</v>
      </c>
      <c r="N25" s="10">
        <v>593.67999999999995</v>
      </c>
      <c r="O25" s="4"/>
      <c r="P25" s="43">
        <f t="shared" si="2"/>
        <v>6725.5199999999995</v>
      </c>
    </row>
    <row r="26" spans="2:16" x14ac:dyDescent="0.45">
      <c r="B26" s="55" t="s">
        <v>43</v>
      </c>
      <c r="C26" s="10">
        <v>781.25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>
        <v>3945</v>
      </c>
      <c r="O26" s="4"/>
      <c r="P26" s="43">
        <f t="shared" si="2"/>
        <v>4726.25</v>
      </c>
    </row>
    <row r="27" spans="2:16" x14ac:dyDescent="0.45">
      <c r="B27" s="55" t="s">
        <v>49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>
        <v>2706.62</v>
      </c>
      <c r="N27" s="10"/>
      <c r="O27" s="4"/>
      <c r="P27" s="43">
        <f t="shared" si="2"/>
        <v>2706.62</v>
      </c>
    </row>
    <row r="28" spans="2:16" x14ac:dyDescent="0.45">
      <c r="B28" s="55" t="s">
        <v>47</v>
      </c>
      <c r="C28" s="10"/>
      <c r="D28" s="10"/>
      <c r="E28" s="10"/>
      <c r="F28" s="10"/>
      <c r="G28" s="10"/>
      <c r="H28" s="10"/>
      <c r="I28" s="10"/>
      <c r="J28" s="10"/>
      <c r="K28" s="10"/>
      <c r="L28" s="72">
        <v>6000</v>
      </c>
      <c r="M28" s="72">
        <v>3000</v>
      </c>
      <c r="N28" s="10"/>
      <c r="O28" s="4"/>
      <c r="P28" s="43">
        <f t="shared" si="2"/>
        <v>9000</v>
      </c>
    </row>
    <row r="29" spans="2:16" x14ac:dyDescent="0.45">
      <c r="B29" s="68" t="s">
        <v>3</v>
      </c>
      <c r="C29" s="44">
        <f t="shared" ref="C29:N29" si="3">SUM(C23:C28)</f>
        <v>10706.590000000002</v>
      </c>
      <c r="D29" s="44">
        <f t="shared" si="3"/>
        <v>9917.32</v>
      </c>
      <c r="E29" s="44">
        <f t="shared" si="3"/>
        <v>9940.380000000001</v>
      </c>
      <c r="F29" s="44">
        <f t="shared" si="3"/>
        <v>9893.482</v>
      </c>
      <c r="G29" s="44">
        <f t="shared" si="3"/>
        <v>10322.48</v>
      </c>
      <c r="H29" s="44">
        <f t="shared" si="3"/>
        <v>10497.068000000001</v>
      </c>
      <c r="I29" s="44">
        <f t="shared" si="3"/>
        <v>10418.865999999998</v>
      </c>
      <c r="J29" s="44">
        <f t="shared" si="3"/>
        <v>16493.738000000001</v>
      </c>
      <c r="K29" s="44">
        <f t="shared" si="3"/>
        <v>10419.286</v>
      </c>
      <c r="L29" s="44">
        <f t="shared" si="3"/>
        <v>16395.421999999999</v>
      </c>
      <c r="M29" s="44">
        <f t="shared" si="3"/>
        <v>15957.678</v>
      </c>
      <c r="N29" s="44">
        <f t="shared" si="3"/>
        <v>14396.02</v>
      </c>
      <c r="O29" s="4"/>
      <c r="P29" s="61">
        <f t="shared" si="2"/>
        <v>145358.32999999999</v>
      </c>
    </row>
    <row r="31" spans="2:16" x14ac:dyDescent="0.45">
      <c r="B31" s="65" t="s">
        <v>42</v>
      </c>
      <c r="C31" s="66"/>
      <c r="D31" s="69">
        <v>500</v>
      </c>
      <c r="E31" s="66">
        <v>500</v>
      </c>
      <c r="F31" s="66">
        <v>500</v>
      </c>
      <c r="G31" s="66"/>
      <c r="H31" s="66"/>
      <c r="I31" s="66"/>
      <c r="J31" s="66"/>
      <c r="K31" s="66"/>
      <c r="L31" s="66"/>
      <c r="M31" s="66"/>
      <c r="N31" s="66"/>
      <c r="P31" s="67">
        <f>SUM(C31:N31)</f>
        <v>1500</v>
      </c>
    </row>
    <row r="33" spans="2:16" x14ac:dyDescent="0.45">
      <c r="B33" s="46" t="s">
        <v>36</v>
      </c>
      <c r="C33" s="47">
        <f t="shared" ref="C33:N33" si="4">C20-C29</f>
        <v>493.0099999999984</v>
      </c>
      <c r="D33" s="47">
        <f t="shared" si="4"/>
        <v>1047.6800000000003</v>
      </c>
      <c r="E33" s="47">
        <f t="shared" si="4"/>
        <v>2128.619999999999</v>
      </c>
      <c r="F33" s="47">
        <f t="shared" si="4"/>
        <v>-32.481999999999971</v>
      </c>
      <c r="G33" s="47">
        <f t="shared" si="4"/>
        <v>-2117.4799999999996</v>
      </c>
      <c r="H33" s="47">
        <f t="shared" si="4"/>
        <v>1571.9319999999989</v>
      </c>
      <c r="I33" s="47">
        <f t="shared" si="4"/>
        <v>-5.8659999999981665</v>
      </c>
      <c r="J33" s="47">
        <f t="shared" si="4"/>
        <v>-3703.7380000000012</v>
      </c>
      <c r="K33" s="47">
        <f t="shared" si="4"/>
        <v>1166.7139999999999</v>
      </c>
      <c r="L33" s="47">
        <f t="shared" si="4"/>
        <v>-5329.4219999999987</v>
      </c>
      <c r="M33" s="47">
        <f t="shared" si="4"/>
        <v>-5856.6779999999999</v>
      </c>
      <c r="N33" s="47">
        <f t="shared" si="4"/>
        <v>-2511.0200000000004</v>
      </c>
      <c r="P33" s="60">
        <f>SUM(C33:N33)</f>
        <v>-13148.730000000001</v>
      </c>
    </row>
    <row r="35" spans="2:16" x14ac:dyDescent="0.45">
      <c r="B35" s="63" t="s">
        <v>37</v>
      </c>
      <c r="C35" s="54">
        <v>1386</v>
      </c>
      <c r="D35" s="54">
        <v>1320</v>
      </c>
      <c r="E35" s="54">
        <v>1386</v>
      </c>
      <c r="F35" s="54">
        <v>1188</v>
      </c>
      <c r="G35" s="54">
        <v>990</v>
      </c>
      <c r="H35" s="54">
        <v>1452</v>
      </c>
      <c r="I35" s="54">
        <v>1254</v>
      </c>
      <c r="J35" s="54">
        <v>1452</v>
      </c>
      <c r="K35" s="54">
        <v>1254</v>
      </c>
      <c r="L35" s="54">
        <v>1188</v>
      </c>
      <c r="M35" s="54">
        <v>792</v>
      </c>
      <c r="N35" s="54">
        <v>1320</v>
      </c>
      <c r="P35" s="62">
        <f>SUM(C35:N35)</f>
        <v>14982</v>
      </c>
    </row>
    <row r="36" spans="2:16" x14ac:dyDescent="0.45">
      <c r="B36" s="63" t="s">
        <v>38</v>
      </c>
      <c r="C36" s="54">
        <v>592.03</v>
      </c>
      <c r="D36" s="54">
        <v>568.6</v>
      </c>
      <c r="E36" s="54">
        <v>592.03</v>
      </c>
      <c r="F36" s="54">
        <v>544.31200000000001</v>
      </c>
      <c r="G36" s="54">
        <v>470.26</v>
      </c>
      <c r="H36" s="54">
        <v>643.048</v>
      </c>
      <c r="I36" s="54">
        <v>568.99599999999998</v>
      </c>
      <c r="J36" s="54">
        <v>643.048</v>
      </c>
      <c r="K36" s="54">
        <v>568.99599999999998</v>
      </c>
      <c r="L36" s="54">
        <v>544.31200000000001</v>
      </c>
      <c r="M36" s="54">
        <v>396.20800000000003</v>
      </c>
      <c r="N36" s="54">
        <v>593.67999999999995</v>
      </c>
      <c r="P36" s="62">
        <f>SUM(C36:N36)</f>
        <v>6725.5199999999995</v>
      </c>
    </row>
    <row r="37" spans="2:16" x14ac:dyDescent="0.45">
      <c r="P37"/>
    </row>
    <row r="38" spans="2:16" x14ac:dyDescent="0.45">
      <c r="P38"/>
    </row>
    <row r="39" spans="2:16" x14ac:dyDescent="0.45">
      <c r="P39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39"/>
  <sheetViews>
    <sheetView topLeftCell="B2" workbookViewId="0">
      <selection activeCell="L28" sqref="L28"/>
    </sheetView>
  </sheetViews>
  <sheetFormatPr baseColWidth="10" defaultRowHeight="14.25" x14ac:dyDescent="0.45"/>
  <cols>
    <col min="1" max="1" width="3" customWidth="1"/>
    <col min="2" max="2" width="28" customWidth="1"/>
    <col min="14" max="14" width="20.19921875" bestFit="1" customWidth="1"/>
    <col min="15" max="15" width="4" customWidth="1"/>
    <col min="16" max="16" width="11" style="48" customWidth="1"/>
  </cols>
  <sheetData>
    <row r="1" spans="2:16" x14ac:dyDescent="0.45">
      <c r="B1" s="73" t="s">
        <v>9</v>
      </c>
    </row>
    <row r="2" spans="2:16" x14ac:dyDescent="0.45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8">
        <f>SUM(C6:N6)</f>
        <v>228</v>
      </c>
    </row>
    <row r="7" spans="2:16" x14ac:dyDescent="0.45">
      <c r="B7" s="9" t="s">
        <v>21</v>
      </c>
      <c r="C7" s="37">
        <v>21</v>
      </c>
      <c r="D7" s="37">
        <v>21</v>
      </c>
      <c r="E7" s="37">
        <v>11</v>
      </c>
      <c r="F7" s="37">
        <v>14</v>
      </c>
      <c r="G7" s="37">
        <v>19</v>
      </c>
      <c r="H7" s="37">
        <v>17</v>
      </c>
      <c r="I7" s="37">
        <v>23</v>
      </c>
      <c r="J7" s="37">
        <v>21</v>
      </c>
      <c r="K7" s="37">
        <v>10</v>
      </c>
      <c r="L7" s="37">
        <v>22</v>
      </c>
      <c r="M7" s="37">
        <v>18</v>
      </c>
      <c r="N7" s="37">
        <v>19</v>
      </c>
      <c r="O7" s="36"/>
      <c r="P7" s="58">
        <f>SUM(C7:N7)</f>
        <v>216</v>
      </c>
    </row>
    <row r="8" spans="2:16" x14ac:dyDescent="0.45">
      <c r="B8" s="18" t="s">
        <v>22</v>
      </c>
      <c r="C8" s="64">
        <f t="shared" ref="C8:N8" si="0">C7-C6</f>
        <v>2</v>
      </c>
      <c r="D8" s="64">
        <f t="shared" si="0"/>
        <v>2</v>
      </c>
      <c r="E8" s="64">
        <f t="shared" si="0"/>
        <v>-8</v>
      </c>
      <c r="F8" s="64">
        <f t="shared" si="0"/>
        <v>-5</v>
      </c>
      <c r="G8" s="64">
        <f t="shared" si="0"/>
        <v>0</v>
      </c>
      <c r="H8" s="64">
        <f t="shared" si="0"/>
        <v>-2</v>
      </c>
      <c r="I8" s="64">
        <f t="shared" si="0"/>
        <v>4</v>
      </c>
      <c r="J8" s="64">
        <f t="shared" si="0"/>
        <v>2</v>
      </c>
      <c r="K8" s="64">
        <f t="shared" si="0"/>
        <v>-9</v>
      </c>
      <c r="L8" s="64">
        <f t="shared" si="0"/>
        <v>3</v>
      </c>
      <c r="M8" s="64">
        <f t="shared" si="0"/>
        <v>-1</v>
      </c>
      <c r="N8" s="64">
        <f t="shared" si="0"/>
        <v>0</v>
      </c>
      <c r="O8" s="36"/>
      <c r="P8" s="58">
        <f>SUM(C8:N8)</f>
        <v>-12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21</v>
      </c>
      <c r="D11" s="11">
        <v>21</v>
      </c>
      <c r="E11" s="11">
        <v>11</v>
      </c>
      <c r="F11" s="11">
        <v>14</v>
      </c>
      <c r="G11" s="11">
        <v>19</v>
      </c>
      <c r="H11" s="11">
        <v>17</v>
      </c>
      <c r="I11" s="11">
        <v>23</v>
      </c>
      <c r="J11" s="11">
        <v>21</v>
      </c>
      <c r="K11" s="11">
        <v>10</v>
      </c>
      <c r="L11" s="11">
        <v>22</v>
      </c>
      <c r="M11" s="11">
        <v>18.5</v>
      </c>
      <c r="N11" s="11">
        <v>19</v>
      </c>
      <c r="P11" s="59">
        <f t="shared" ref="P11:P16" si="1">SUM(C11:N11)</f>
        <v>216.5</v>
      </c>
    </row>
    <row r="12" spans="2:16" x14ac:dyDescent="0.45">
      <c r="B12" s="9" t="s">
        <v>16</v>
      </c>
      <c r="C12" s="12">
        <v>1</v>
      </c>
      <c r="D12" s="12"/>
      <c r="E12" s="12">
        <v>0</v>
      </c>
      <c r="F12" s="12">
        <v>0</v>
      </c>
      <c r="G12" s="12">
        <v>1</v>
      </c>
      <c r="H12" s="12">
        <v>3</v>
      </c>
      <c r="I12" s="12"/>
      <c r="J12" s="12">
        <v>0</v>
      </c>
      <c r="K12" s="12">
        <v>9</v>
      </c>
      <c r="L12" s="12">
        <v>1</v>
      </c>
      <c r="M12" s="12">
        <v>0.5</v>
      </c>
      <c r="N12" s="12">
        <v>2</v>
      </c>
      <c r="P12" s="59">
        <f t="shared" si="1"/>
        <v>17.5</v>
      </c>
    </row>
    <row r="13" spans="2:16" x14ac:dyDescent="0.45">
      <c r="B13" s="9" t="s">
        <v>51</v>
      </c>
      <c r="C13" s="12"/>
      <c r="D13" s="12"/>
      <c r="E13" s="12">
        <v>3</v>
      </c>
      <c r="F13" s="12"/>
      <c r="G13" s="12"/>
      <c r="H13" s="12"/>
      <c r="I13" s="12"/>
      <c r="J13" s="12"/>
      <c r="K13" s="12"/>
      <c r="L13" s="12"/>
      <c r="M13" s="12"/>
      <c r="N13" s="12"/>
      <c r="P13" s="59">
        <f t="shared" si="1"/>
        <v>3</v>
      </c>
    </row>
    <row r="14" spans="2:16" x14ac:dyDescent="0.45">
      <c r="B14" s="9" t="s">
        <v>50</v>
      </c>
      <c r="C14" s="12"/>
      <c r="D14" s="12"/>
      <c r="E14" s="12">
        <v>9</v>
      </c>
      <c r="F14" s="12">
        <v>9</v>
      </c>
      <c r="G14" s="12"/>
      <c r="H14" s="12"/>
      <c r="I14" s="12"/>
      <c r="J14" s="12">
        <v>4</v>
      </c>
      <c r="K14" s="12">
        <v>3</v>
      </c>
      <c r="L14" s="12"/>
      <c r="M14" s="12"/>
      <c r="N14" s="12"/>
      <c r="P14" s="59">
        <f t="shared" si="1"/>
        <v>25</v>
      </c>
    </row>
    <row r="15" spans="2:16" x14ac:dyDescent="0.45">
      <c r="B15" s="9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P15" s="59">
        <f t="shared" si="1"/>
        <v>0</v>
      </c>
    </row>
    <row r="16" spans="2:16" x14ac:dyDescent="0.45">
      <c r="B16" s="18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P16" s="59">
        <f t="shared" si="1"/>
        <v>0</v>
      </c>
    </row>
    <row r="17" spans="2:16" x14ac:dyDescent="0.45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45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45">
      <c r="B19" s="9" t="s">
        <v>6</v>
      </c>
      <c r="C19" s="10">
        <f>C11*Params!$C$7*(1-Params!$C$3)-Params!$C$4</f>
        <v>12483</v>
      </c>
      <c r="D19" s="10">
        <f>D11*Params!$C$7*(1-Params!$C$3)-Params!$C$4</f>
        <v>12483</v>
      </c>
      <c r="E19" s="10">
        <f>E11*Params!$C$7*(1-Params!$C$3)-Params!$C$4</f>
        <v>6503</v>
      </c>
      <c r="F19" s="10">
        <f>F11*Params!$C$7*(1-Params!$C$3)-Params!$C$4</f>
        <v>8297</v>
      </c>
      <c r="G19" s="10">
        <f>G11*Params!$C$7*(1-Params!$C$3)-Params!$C$4</f>
        <v>11287</v>
      </c>
      <c r="H19" s="10">
        <f>H11*Params!$C$7*(1-Params!$C$3)-Params!$C$4</f>
        <v>10091</v>
      </c>
      <c r="I19" s="10">
        <f>I11*Params!$C$7*(1-Params!$C$3)-Params!$C$4</f>
        <v>13679</v>
      </c>
      <c r="J19" s="10">
        <f>J11*Params!$C$7*(1-Params!$C$3)-Params!$C$4</f>
        <v>12483</v>
      </c>
      <c r="K19" s="10">
        <f>K11*Params!$C$7*(1-Params!$C$3)-Params!$C$4</f>
        <v>5905</v>
      </c>
      <c r="L19" s="10">
        <f>L11*Params!$C$7*(1-Params!$C$3)-Params!$C$4</f>
        <v>13081</v>
      </c>
      <c r="M19" s="10">
        <f>M11*Params!$C$7*(1-Params!$C$3)-Params!$C$4</f>
        <v>10988</v>
      </c>
      <c r="N19" s="10">
        <f>N11*Params!$C$7*(1-Params!$C$3)-Params!$C$4</f>
        <v>11287</v>
      </c>
      <c r="O19" s="4"/>
      <c r="P19" s="41">
        <f>SUM(C19:N19)</f>
        <v>128567</v>
      </c>
    </row>
    <row r="20" spans="2:16" x14ac:dyDescent="0.45">
      <c r="B20" s="9" t="s">
        <v>15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/>
      <c r="P20" s="41">
        <f>SUM(C20:N20)</f>
        <v>0</v>
      </c>
    </row>
    <row r="21" spans="2:16" x14ac:dyDescent="0.45">
      <c r="B21" s="27" t="s">
        <v>2</v>
      </c>
      <c r="C21" s="28">
        <f t="shared" ref="C21:N21" si="2">SUM(C19:C20)</f>
        <v>12483</v>
      </c>
      <c r="D21" s="28">
        <f t="shared" si="2"/>
        <v>12483</v>
      </c>
      <c r="E21" s="28">
        <f t="shared" si="2"/>
        <v>6503</v>
      </c>
      <c r="F21" s="28">
        <f t="shared" si="2"/>
        <v>8297</v>
      </c>
      <c r="G21" s="28">
        <f t="shared" si="2"/>
        <v>11287</v>
      </c>
      <c r="H21" s="28">
        <f t="shared" si="2"/>
        <v>10091</v>
      </c>
      <c r="I21" s="28">
        <f t="shared" si="2"/>
        <v>13679</v>
      </c>
      <c r="J21" s="28">
        <f t="shared" si="2"/>
        <v>12483</v>
      </c>
      <c r="K21" s="28">
        <f t="shared" si="2"/>
        <v>5905</v>
      </c>
      <c r="L21" s="28">
        <f t="shared" si="2"/>
        <v>13081</v>
      </c>
      <c r="M21" s="28">
        <f t="shared" si="2"/>
        <v>10988</v>
      </c>
      <c r="N21" s="28">
        <f t="shared" si="2"/>
        <v>11287</v>
      </c>
      <c r="O21" s="5"/>
      <c r="P21" s="42">
        <f>SUM(C21:O21)</f>
        <v>128567</v>
      </c>
    </row>
    <row r="22" spans="2:16" x14ac:dyDescent="0.45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45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45">
      <c r="B24" s="9" t="s">
        <v>7</v>
      </c>
      <c r="C24" s="10">
        <v>5966.71</v>
      </c>
      <c r="D24" s="10">
        <v>5966.71</v>
      </c>
      <c r="E24" s="10">
        <v>4088.44</v>
      </c>
      <c r="F24" s="10">
        <v>4389.18</v>
      </c>
      <c r="G24" s="10">
        <v>5887.36</v>
      </c>
      <c r="H24" s="10">
        <v>4887.3599999999997</v>
      </c>
      <c r="I24" s="10">
        <v>4887.3599999999997</v>
      </c>
      <c r="J24" s="10">
        <v>5512.82</v>
      </c>
      <c r="K24" s="10">
        <v>4606.4399999999996</v>
      </c>
      <c r="L24" s="10">
        <v>4887.3599999999997</v>
      </c>
      <c r="M24" s="10">
        <v>4887.3599999999997</v>
      </c>
      <c r="N24" s="10">
        <v>5152.49</v>
      </c>
      <c r="O24" s="4"/>
      <c r="P24" s="43">
        <f t="shared" ref="P24:P29" si="3">SUM(C24:N24)</f>
        <v>61119.590000000004</v>
      </c>
    </row>
    <row r="25" spans="2:16" x14ac:dyDescent="0.45">
      <c r="B25" s="9" t="s">
        <v>8</v>
      </c>
      <c r="C25" s="10">
        <f>1358.07+2547.16</f>
        <v>3905.2299999999996</v>
      </c>
      <c r="D25" s="10">
        <f>1358.07+2547.98</f>
        <v>3906.05</v>
      </c>
      <c r="E25" s="10">
        <f>945.75+1766.29</f>
        <v>2712.04</v>
      </c>
      <c r="F25" s="10">
        <f>1061.92+1823.12</f>
        <v>2885.04</v>
      </c>
      <c r="G25" s="10">
        <f>1437.42+2574.63</f>
        <v>4012.05</v>
      </c>
      <c r="H25" s="10">
        <f>1437.42+2575.45</f>
        <v>4012.87</v>
      </c>
      <c r="I25" s="10">
        <f>1437.42+2580.17</f>
        <v>4017.59</v>
      </c>
      <c r="J25" s="10">
        <f>1343.53+2389.55</f>
        <v>3733.08</v>
      </c>
      <c r="K25" s="10">
        <f>1366.96+2436.56</f>
        <v>3803.52</v>
      </c>
      <c r="L25" s="10">
        <f>1437.42+2585.15</f>
        <v>4022.57</v>
      </c>
      <c r="M25" s="10">
        <f>1437.42+2578.5</f>
        <v>4015.92</v>
      </c>
      <c r="N25" s="10">
        <f>1501.01+2691.63</f>
        <v>4192.6400000000003</v>
      </c>
      <c r="O25" s="4"/>
      <c r="P25" s="43">
        <f t="shared" si="3"/>
        <v>45218.599999999991</v>
      </c>
    </row>
    <row r="26" spans="2:16" x14ac:dyDescent="0.45">
      <c r="B26" s="55" t="s">
        <v>40</v>
      </c>
      <c r="C26" s="10">
        <v>643.048</v>
      </c>
      <c r="D26" s="10">
        <v>618.36400000000003</v>
      </c>
      <c r="E26" s="10">
        <v>371.524</v>
      </c>
      <c r="F26" s="10">
        <v>445.57600000000002</v>
      </c>
      <c r="G26" s="10">
        <v>568.99599999999998</v>
      </c>
      <c r="H26" s="10">
        <v>519.62800000000004</v>
      </c>
      <c r="I26" s="10">
        <v>346.84</v>
      </c>
      <c r="J26" s="10">
        <v>322.15600000000001</v>
      </c>
      <c r="K26" s="10">
        <v>346.84</v>
      </c>
      <c r="L26" s="10">
        <v>643.048</v>
      </c>
      <c r="M26" s="10">
        <v>544.31200000000001</v>
      </c>
      <c r="N26" s="10">
        <v>825.99599999999998</v>
      </c>
      <c r="O26" s="4"/>
      <c r="P26" s="43">
        <f t="shared" si="3"/>
        <v>6196.3280000000004</v>
      </c>
    </row>
    <row r="27" spans="2:16" s="10" customFormat="1" x14ac:dyDescent="0.45">
      <c r="B27" s="10" t="s">
        <v>49</v>
      </c>
      <c r="C27" s="10">
        <f>41.62+35.8</f>
        <v>77.419999999999987</v>
      </c>
      <c r="P27" s="43">
        <f t="shared" si="3"/>
        <v>77.419999999999987</v>
      </c>
    </row>
    <row r="28" spans="2:16" x14ac:dyDescent="0.45">
      <c r="B28" s="55" t="s">
        <v>41</v>
      </c>
      <c r="C28" s="56"/>
      <c r="D28" s="56"/>
      <c r="E28" s="56"/>
      <c r="F28" s="71">
        <v>3000</v>
      </c>
      <c r="G28" s="56"/>
      <c r="H28" s="56"/>
      <c r="I28" s="56"/>
      <c r="J28" s="56"/>
      <c r="K28" s="56"/>
      <c r="L28" s="56">
        <v>3000</v>
      </c>
      <c r="M28" s="70">
        <v>3000</v>
      </c>
      <c r="N28" s="56"/>
      <c r="O28" s="4"/>
      <c r="P28" s="43">
        <f t="shared" si="3"/>
        <v>9000</v>
      </c>
    </row>
    <row r="29" spans="2:16" x14ac:dyDescent="0.45">
      <c r="B29" s="8" t="s">
        <v>3</v>
      </c>
      <c r="C29" s="44">
        <f t="shared" ref="C29:N29" si="4">SUM(C24:C28)</f>
        <v>10592.407999999999</v>
      </c>
      <c r="D29" s="44">
        <f t="shared" si="4"/>
        <v>10491.124</v>
      </c>
      <c r="E29" s="44">
        <f t="shared" si="4"/>
        <v>7172.0039999999999</v>
      </c>
      <c r="F29" s="44">
        <f t="shared" si="4"/>
        <v>10719.796</v>
      </c>
      <c r="G29" s="44">
        <f t="shared" si="4"/>
        <v>10468.405999999999</v>
      </c>
      <c r="H29" s="44">
        <f t="shared" si="4"/>
        <v>9419.8580000000002</v>
      </c>
      <c r="I29" s="44">
        <f t="shared" si="4"/>
        <v>9251.7900000000009</v>
      </c>
      <c r="J29" s="44">
        <f t="shared" si="4"/>
        <v>9568.0560000000005</v>
      </c>
      <c r="K29" s="44">
        <f t="shared" si="4"/>
        <v>8756.7999999999993</v>
      </c>
      <c r="L29" s="44">
        <f t="shared" si="4"/>
        <v>12552.978000000001</v>
      </c>
      <c r="M29" s="44">
        <f t="shared" si="4"/>
        <v>12447.591999999999</v>
      </c>
      <c r="N29" s="44">
        <f t="shared" si="4"/>
        <v>10171.126</v>
      </c>
      <c r="O29" s="4"/>
      <c r="P29" s="61">
        <f t="shared" si="3"/>
        <v>121611.93800000001</v>
      </c>
    </row>
    <row r="30" spans="2:16" x14ac:dyDescent="0.45">
      <c r="B30" s="4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5"/>
    </row>
    <row r="31" spans="2:16" x14ac:dyDescent="0.45">
      <c r="B31" s="65" t="s">
        <v>42</v>
      </c>
      <c r="C31" s="66"/>
      <c r="D31" s="66"/>
      <c r="E31" s="66"/>
      <c r="F31" s="66"/>
      <c r="G31" s="66"/>
      <c r="H31" s="66">
        <v>1000</v>
      </c>
      <c r="I31" s="66">
        <v>1000</v>
      </c>
      <c r="J31" s="66"/>
      <c r="K31" s="66">
        <v>1000</v>
      </c>
      <c r="L31" s="66">
        <v>1000</v>
      </c>
      <c r="M31" s="66">
        <v>1000</v>
      </c>
      <c r="N31" s="69">
        <v>1000</v>
      </c>
      <c r="P31" s="67">
        <f>SUM(C31:N31)</f>
        <v>6000</v>
      </c>
    </row>
    <row r="32" spans="2:16" x14ac:dyDescent="0.45">
      <c r="B32" s="4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5"/>
    </row>
    <row r="33" spans="2:16" x14ac:dyDescent="0.45">
      <c r="B33" s="46" t="s">
        <v>36</v>
      </c>
      <c r="C33" s="47">
        <f t="shared" ref="C33:N33" si="5">C21-C29</f>
        <v>1890.5920000000006</v>
      </c>
      <c r="D33" s="47">
        <f t="shared" si="5"/>
        <v>1991.8760000000002</v>
      </c>
      <c r="E33" s="47">
        <f t="shared" si="5"/>
        <v>-669.00399999999991</v>
      </c>
      <c r="F33" s="47">
        <f t="shared" si="5"/>
        <v>-2422.7960000000003</v>
      </c>
      <c r="G33" s="47">
        <f t="shared" si="5"/>
        <v>818.59400000000096</v>
      </c>
      <c r="H33" s="47">
        <f t="shared" si="5"/>
        <v>671.14199999999983</v>
      </c>
      <c r="I33" s="47">
        <f t="shared" si="5"/>
        <v>4427.2099999999991</v>
      </c>
      <c r="J33" s="47">
        <f t="shared" si="5"/>
        <v>2914.9439999999995</v>
      </c>
      <c r="K33" s="47">
        <f t="shared" si="5"/>
        <v>-2851.7999999999993</v>
      </c>
      <c r="L33" s="47">
        <f t="shared" si="5"/>
        <v>528.02199999999903</v>
      </c>
      <c r="M33" s="47">
        <f t="shared" si="5"/>
        <v>-1459.5919999999987</v>
      </c>
      <c r="N33" s="47">
        <f t="shared" si="5"/>
        <v>1115.8739999999998</v>
      </c>
      <c r="P33" s="60">
        <f>SUM(C33:O33)</f>
        <v>6955.0620000000017</v>
      </c>
    </row>
    <row r="35" spans="2:16" x14ac:dyDescent="0.45">
      <c r="B35" s="63" t="s">
        <v>37</v>
      </c>
      <c r="C35" s="54">
        <v>1452</v>
      </c>
      <c r="D35" s="54">
        <v>1386</v>
      </c>
      <c r="E35" s="54">
        <v>726</v>
      </c>
      <c r="F35" s="54">
        <v>924</v>
      </c>
      <c r="G35" s="54">
        <v>1254</v>
      </c>
      <c r="H35" s="54">
        <v>1122</v>
      </c>
      <c r="I35" s="54">
        <v>660</v>
      </c>
      <c r="J35" s="54">
        <v>594</v>
      </c>
      <c r="K35" s="54">
        <v>660</v>
      </c>
      <c r="L35" s="54">
        <v>1452</v>
      </c>
      <c r="M35" s="54">
        <v>1188</v>
      </c>
      <c r="N35" s="54">
        <v>1254</v>
      </c>
      <c r="P35" s="62">
        <f>SUM(C35:N35)</f>
        <v>12672</v>
      </c>
    </row>
    <row r="36" spans="2:16" x14ac:dyDescent="0.45">
      <c r="B36" s="63" t="s">
        <v>38</v>
      </c>
      <c r="C36" s="54">
        <v>643.048</v>
      </c>
      <c r="D36" s="54">
        <v>618.36400000000003</v>
      </c>
      <c r="E36" s="54">
        <v>371.524</v>
      </c>
      <c r="F36" s="54">
        <v>445.57600000000002</v>
      </c>
      <c r="G36" s="54">
        <v>568.99599999999998</v>
      </c>
      <c r="H36" s="54">
        <v>519.62800000000004</v>
      </c>
      <c r="I36" s="54">
        <v>346.84</v>
      </c>
      <c r="J36" s="54">
        <v>322.15600000000001</v>
      </c>
      <c r="K36" s="54">
        <v>346.84</v>
      </c>
      <c r="L36" s="54">
        <v>643.048</v>
      </c>
      <c r="M36" s="54">
        <v>544.31200000000001</v>
      </c>
      <c r="N36" s="54">
        <v>825.99599999999998</v>
      </c>
      <c r="P36" s="62">
        <f>SUM(C36:N36)</f>
        <v>6196.3280000000004</v>
      </c>
    </row>
    <row r="38" spans="2:16" x14ac:dyDescent="0.45">
      <c r="N38" s="54" t="s">
        <v>52</v>
      </c>
      <c r="P38" s="62">
        <f>(P35*0.374) + 1457</f>
        <v>6196.3280000000004</v>
      </c>
    </row>
    <row r="39" spans="2:16" x14ac:dyDescent="0.45">
      <c r="N39" s="54" t="s">
        <v>53</v>
      </c>
      <c r="P39" s="62">
        <f>P38-P36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9"/>
  <sheetViews>
    <sheetView tabSelected="1" topLeftCell="B19" workbookViewId="0">
      <selection activeCell="F29" sqref="F29"/>
    </sheetView>
  </sheetViews>
  <sheetFormatPr baseColWidth="10" defaultRowHeight="14.25" x14ac:dyDescent="0.45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45">
      <c r="B1" s="73" t="s">
        <v>9</v>
      </c>
    </row>
    <row r="2" spans="2:16" x14ac:dyDescent="0.45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/>
      <c r="G6" s="37"/>
      <c r="H6" s="37"/>
      <c r="I6" s="37"/>
      <c r="J6" s="37"/>
      <c r="K6" s="37"/>
      <c r="L6" s="37"/>
      <c r="M6" s="37"/>
      <c r="N6" s="37"/>
      <c r="O6" s="36"/>
      <c r="P6" s="58">
        <f>SUM(C6:N6)</f>
        <v>57</v>
      </c>
    </row>
    <row r="7" spans="2:16" x14ac:dyDescent="0.45">
      <c r="B7" s="9" t="s">
        <v>21</v>
      </c>
      <c r="C7" s="37">
        <v>22</v>
      </c>
      <c r="D7" s="37">
        <v>19</v>
      </c>
      <c r="E7" s="37">
        <v>12</v>
      </c>
      <c r="F7" s="37"/>
      <c r="G7" s="37"/>
      <c r="H7" s="37"/>
      <c r="I7" s="37"/>
      <c r="J7" s="37"/>
      <c r="K7" s="37"/>
      <c r="L7" s="37"/>
      <c r="M7" s="37"/>
      <c r="N7" s="37"/>
      <c r="O7" s="36"/>
      <c r="P7" s="58">
        <f>SUM(C7:N7)</f>
        <v>53</v>
      </c>
    </row>
    <row r="8" spans="2:16" x14ac:dyDescent="0.45">
      <c r="B8" s="18" t="s">
        <v>22</v>
      </c>
      <c r="C8" s="64">
        <f t="shared" ref="C8:N8" si="0">C7-C6</f>
        <v>3</v>
      </c>
      <c r="D8" s="64">
        <f t="shared" si="0"/>
        <v>0</v>
      </c>
      <c r="E8" s="64">
        <f t="shared" si="0"/>
        <v>-7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-4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19</v>
      </c>
      <c r="E11" s="11">
        <v>12</v>
      </c>
      <c r="F11" s="11"/>
      <c r="G11" s="11"/>
      <c r="H11" s="11"/>
      <c r="I11" s="11"/>
      <c r="J11" s="11"/>
      <c r="K11" s="11"/>
      <c r="L11" s="11"/>
      <c r="M11" s="11"/>
      <c r="N11" s="11"/>
      <c r="P11" s="59">
        <f t="shared" ref="P11:P16" si="1">SUM(C11:N11)</f>
        <v>53</v>
      </c>
    </row>
    <row r="12" spans="2:16" x14ac:dyDescent="0.45">
      <c r="B12" s="9" t="s">
        <v>16</v>
      </c>
      <c r="C12" s="12"/>
      <c r="D12" s="12">
        <v>1</v>
      </c>
      <c r="E12" s="12">
        <v>9</v>
      </c>
      <c r="F12" s="12"/>
      <c r="G12" s="12"/>
      <c r="H12" s="12"/>
      <c r="I12" s="12"/>
      <c r="J12" s="12"/>
      <c r="K12" s="12"/>
      <c r="L12" s="12"/>
      <c r="M12" s="12"/>
      <c r="N12" s="12"/>
      <c r="P12" s="59">
        <f t="shared" si="1"/>
        <v>10</v>
      </c>
    </row>
    <row r="13" spans="2:16" x14ac:dyDescent="0.45">
      <c r="B13" s="9" t="s">
        <v>51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 t="shared" si="1"/>
        <v>0</v>
      </c>
    </row>
    <row r="14" spans="2:16" x14ac:dyDescent="0.45">
      <c r="B14" s="9" t="s">
        <v>50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9">
        <f t="shared" si="1"/>
        <v>0</v>
      </c>
    </row>
    <row r="15" spans="2:16" x14ac:dyDescent="0.45">
      <c r="B15" s="9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P15" s="59">
        <f t="shared" si="1"/>
        <v>0</v>
      </c>
    </row>
    <row r="16" spans="2:16" x14ac:dyDescent="0.45">
      <c r="B16" s="18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P16" s="59">
        <f t="shared" si="1"/>
        <v>0</v>
      </c>
    </row>
    <row r="17" spans="2:16" x14ac:dyDescent="0.45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45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45">
      <c r="B19" s="9" t="s">
        <v>6</v>
      </c>
      <c r="C19" s="10">
        <f>C11*Params!$C$7*(1-Params!$C$3)-Params!$C$4</f>
        <v>13081</v>
      </c>
      <c r="D19" s="10">
        <f>D11*Params!$C$7*(1-Params!$C$3)-Params!$C$4</f>
        <v>11287</v>
      </c>
      <c r="E19" s="10">
        <f>E11*Params!$C$7*(1-Params!$C$3)-Params!$C$4</f>
        <v>7101</v>
      </c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31469</v>
      </c>
    </row>
    <row r="20" spans="2:16" x14ac:dyDescent="0.45">
      <c r="B20" s="9" t="s">
        <v>15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/>
      <c r="P20" s="41">
        <f>SUM(C20:N20)</f>
        <v>0</v>
      </c>
    </row>
    <row r="21" spans="2:16" x14ac:dyDescent="0.45">
      <c r="B21" s="27" t="s">
        <v>2</v>
      </c>
      <c r="C21" s="28">
        <f t="shared" ref="C21:N21" si="2">SUM(C19:C20)</f>
        <v>13081</v>
      </c>
      <c r="D21" s="28">
        <f t="shared" si="2"/>
        <v>11287</v>
      </c>
      <c r="E21" s="28">
        <f t="shared" si="2"/>
        <v>7101</v>
      </c>
      <c r="F21" s="28">
        <f t="shared" si="2"/>
        <v>0</v>
      </c>
      <c r="G21" s="28">
        <f t="shared" si="2"/>
        <v>0</v>
      </c>
      <c r="H21" s="28">
        <f t="shared" si="2"/>
        <v>0</v>
      </c>
      <c r="I21" s="28">
        <f t="shared" si="2"/>
        <v>0</v>
      </c>
      <c r="J21" s="28">
        <f t="shared" si="2"/>
        <v>0</v>
      </c>
      <c r="K21" s="28">
        <f t="shared" si="2"/>
        <v>0</v>
      </c>
      <c r="L21" s="28">
        <f t="shared" si="2"/>
        <v>0</v>
      </c>
      <c r="M21" s="28">
        <f t="shared" si="2"/>
        <v>0</v>
      </c>
      <c r="N21" s="28">
        <f t="shared" si="2"/>
        <v>0</v>
      </c>
      <c r="O21" s="5"/>
      <c r="P21" s="42">
        <f>SUM(C21:O21)</f>
        <v>31469</v>
      </c>
    </row>
    <row r="22" spans="2:16" x14ac:dyDescent="0.45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45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45">
      <c r="B24" s="9" t="s">
        <v>7</v>
      </c>
      <c r="C24" s="10">
        <v>4885.8</v>
      </c>
      <c r="D24" s="10">
        <v>4885.8</v>
      </c>
      <c r="E24" s="10">
        <v>4885.8</v>
      </c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 t="shared" ref="P24:P29" si="3">SUM(C24:N24)</f>
        <v>14657.400000000001</v>
      </c>
    </row>
    <row r="25" spans="2:16" x14ac:dyDescent="0.45">
      <c r="B25" s="9" t="s">
        <v>8</v>
      </c>
      <c r="C25" s="10">
        <f>1443.54+2585.7</f>
        <v>4029.24</v>
      </c>
      <c r="D25" s="10">
        <f>1443.54+2584.04</f>
        <v>4027.58</v>
      </c>
      <c r="E25" s="10">
        <f>1443.54+2584.86</f>
        <v>4028.4</v>
      </c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3">
        <f t="shared" si="3"/>
        <v>12085.22</v>
      </c>
    </row>
    <row r="26" spans="2:16" x14ac:dyDescent="0.45">
      <c r="B26" s="55" t="s">
        <v>40</v>
      </c>
      <c r="C26" s="10">
        <v>643.048</v>
      </c>
      <c r="D26" s="10">
        <v>569</v>
      </c>
      <c r="E26" s="10">
        <v>396.20800000000003</v>
      </c>
      <c r="F26" s="10"/>
      <c r="G26" s="10"/>
      <c r="H26" s="10"/>
      <c r="I26" s="10"/>
      <c r="J26" s="10"/>
      <c r="K26" s="10"/>
      <c r="L26" s="10"/>
      <c r="M26" s="10"/>
      <c r="N26" s="10"/>
      <c r="O26" s="4"/>
      <c r="P26" s="43">
        <f t="shared" si="3"/>
        <v>1608.2560000000001</v>
      </c>
    </row>
    <row r="27" spans="2:16" s="10" customFormat="1" x14ac:dyDescent="0.45">
      <c r="B27" s="10" t="s">
        <v>49</v>
      </c>
      <c r="E27" s="10">
        <v>208.32</v>
      </c>
      <c r="P27" s="43">
        <f t="shared" si="3"/>
        <v>208.32</v>
      </c>
    </row>
    <row r="28" spans="2:16" x14ac:dyDescent="0.45">
      <c r="B28" s="55" t="s">
        <v>41</v>
      </c>
      <c r="C28" s="56"/>
      <c r="D28" s="56"/>
      <c r="E28" s="56"/>
      <c r="F28" s="56">
        <v>4000</v>
      </c>
      <c r="G28" s="56"/>
      <c r="H28" s="56"/>
      <c r="I28" s="56"/>
      <c r="J28" s="56"/>
      <c r="K28" s="56"/>
      <c r="L28" s="56"/>
      <c r="M28" s="70"/>
      <c r="N28" s="56"/>
      <c r="O28" s="4"/>
      <c r="P28" s="43">
        <f t="shared" si="3"/>
        <v>4000</v>
      </c>
    </row>
    <row r="29" spans="2:16" x14ac:dyDescent="0.45">
      <c r="B29" s="8" t="s">
        <v>3</v>
      </c>
      <c r="C29" s="44">
        <f t="shared" ref="C29:N29" si="4">SUM(C24:C28)</f>
        <v>9558.0880000000016</v>
      </c>
      <c r="D29" s="44">
        <f t="shared" si="4"/>
        <v>9482.380000000001</v>
      </c>
      <c r="E29" s="44">
        <f t="shared" si="4"/>
        <v>9518.728000000001</v>
      </c>
      <c r="F29" s="44">
        <f t="shared" si="4"/>
        <v>4000</v>
      </c>
      <c r="G29" s="44">
        <f t="shared" si="4"/>
        <v>0</v>
      </c>
      <c r="H29" s="44">
        <f t="shared" si="4"/>
        <v>0</v>
      </c>
      <c r="I29" s="44">
        <f t="shared" si="4"/>
        <v>0</v>
      </c>
      <c r="J29" s="44">
        <f t="shared" si="4"/>
        <v>0</v>
      </c>
      <c r="K29" s="44">
        <f t="shared" si="4"/>
        <v>0</v>
      </c>
      <c r="L29" s="44">
        <f t="shared" si="4"/>
        <v>0</v>
      </c>
      <c r="M29" s="44">
        <f t="shared" si="4"/>
        <v>0</v>
      </c>
      <c r="N29" s="44">
        <f t="shared" si="4"/>
        <v>0</v>
      </c>
      <c r="O29" s="4"/>
      <c r="P29" s="61">
        <f t="shared" si="3"/>
        <v>32559.196000000004</v>
      </c>
    </row>
    <row r="30" spans="2:16" x14ac:dyDescent="0.45">
      <c r="B30" s="4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5"/>
    </row>
    <row r="31" spans="2:16" x14ac:dyDescent="0.45">
      <c r="B31" s="65" t="s">
        <v>42</v>
      </c>
      <c r="C31" s="66">
        <v>1000</v>
      </c>
      <c r="D31" s="66">
        <v>1000</v>
      </c>
      <c r="E31" s="66">
        <v>1000</v>
      </c>
      <c r="F31" s="66"/>
      <c r="G31" s="66"/>
      <c r="H31" s="66"/>
      <c r="I31" s="66"/>
      <c r="J31" s="66"/>
      <c r="K31" s="66"/>
      <c r="L31" s="66"/>
      <c r="M31" s="66"/>
      <c r="N31" s="69"/>
      <c r="P31" s="67">
        <f>SUM(C31:N31)</f>
        <v>3000</v>
      </c>
    </row>
    <row r="32" spans="2:16" x14ac:dyDescent="0.45">
      <c r="B32" s="4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5"/>
    </row>
    <row r="33" spans="2:16" x14ac:dyDescent="0.45">
      <c r="B33" s="46" t="s">
        <v>36</v>
      </c>
      <c r="C33" s="47">
        <f t="shared" ref="C33:N33" si="5">C21-C29</f>
        <v>3522.9119999999984</v>
      </c>
      <c r="D33" s="47">
        <f t="shared" si="5"/>
        <v>1804.619999999999</v>
      </c>
      <c r="E33" s="47">
        <f t="shared" si="5"/>
        <v>-2417.728000000001</v>
      </c>
      <c r="F33" s="47">
        <f t="shared" si="5"/>
        <v>-4000</v>
      </c>
      <c r="G33" s="47">
        <f t="shared" si="5"/>
        <v>0</v>
      </c>
      <c r="H33" s="47">
        <f t="shared" si="5"/>
        <v>0</v>
      </c>
      <c r="I33" s="47">
        <f t="shared" si="5"/>
        <v>0</v>
      </c>
      <c r="J33" s="47">
        <f t="shared" si="5"/>
        <v>0</v>
      </c>
      <c r="K33" s="47">
        <f t="shared" si="5"/>
        <v>0</v>
      </c>
      <c r="L33" s="47">
        <f t="shared" si="5"/>
        <v>0</v>
      </c>
      <c r="M33" s="47">
        <f t="shared" si="5"/>
        <v>0</v>
      </c>
      <c r="N33" s="47">
        <f t="shared" si="5"/>
        <v>0</v>
      </c>
      <c r="P33" s="60">
        <f>SUM(C33:O33)</f>
        <v>-1090.1960000000036</v>
      </c>
    </row>
    <row r="35" spans="2:16" x14ac:dyDescent="0.45">
      <c r="B35" s="63" t="s">
        <v>37</v>
      </c>
      <c r="C35" s="54">
        <v>1452</v>
      </c>
      <c r="D35" s="54">
        <v>1254</v>
      </c>
      <c r="E35" s="54">
        <v>792</v>
      </c>
      <c r="F35" s="54"/>
      <c r="G35" s="54"/>
      <c r="H35" s="54"/>
      <c r="I35" s="54"/>
      <c r="J35" s="54"/>
      <c r="K35" s="54"/>
      <c r="L35" s="54"/>
      <c r="M35" s="54"/>
      <c r="N35" s="54"/>
      <c r="P35" s="62">
        <f>SUM(C35:N35)</f>
        <v>3498</v>
      </c>
    </row>
    <row r="36" spans="2:16" x14ac:dyDescent="0.45">
      <c r="B36" s="63" t="s">
        <v>38</v>
      </c>
      <c r="C36" s="54">
        <v>643.048</v>
      </c>
      <c r="D36" s="54">
        <v>569</v>
      </c>
      <c r="E36" s="54">
        <v>396.20800000000003</v>
      </c>
      <c r="F36" s="54"/>
      <c r="G36" s="54"/>
      <c r="H36" s="54"/>
      <c r="I36" s="54"/>
      <c r="J36" s="54"/>
      <c r="K36" s="54"/>
      <c r="L36" s="54"/>
      <c r="M36" s="54"/>
      <c r="N36" s="54"/>
      <c r="P36" s="62">
        <f>SUM(C36:N36)</f>
        <v>1608.2560000000001</v>
      </c>
    </row>
    <row r="38" spans="2:16" x14ac:dyDescent="0.45">
      <c r="N38" s="54" t="s">
        <v>52</v>
      </c>
      <c r="P38" s="62">
        <f>(P35*0.374) + 1457</f>
        <v>2765.252</v>
      </c>
    </row>
    <row r="39" spans="2:16" x14ac:dyDescent="0.45">
      <c r="N39" s="54" t="s">
        <v>53</v>
      </c>
      <c r="P39" s="62">
        <f>P38-P36</f>
        <v>1156.9959999999999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C7" sqref="C7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75" t="s">
        <v>23</v>
      </c>
      <c r="C2" s="76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44</v>
      </c>
      <c r="C5" s="33">
        <v>570</v>
      </c>
    </row>
    <row r="6" spans="2:3" ht="26" customHeight="1" x14ac:dyDescent="0.45">
      <c r="B6" s="33" t="s">
        <v>45</v>
      </c>
      <c r="C6" s="33">
        <v>600</v>
      </c>
    </row>
    <row r="7" spans="2:3" ht="26" customHeight="1" x14ac:dyDescent="0.45">
      <c r="B7" s="33" t="s">
        <v>46</v>
      </c>
      <c r="C7" s="33">
        <v>650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6" sqref="C6"/>
    </sheetView>
  </sheetViews>
  <sheetFormatPr baseColWidth="10" defaultRowHeight="14.25" x14ac:dyDescent="0.45"/>
  <cols>
    <col min="2" max="2" width="20.33203125" customWidth="1"/>
  </cols>
  <sheetData>
    <row r="2" spans="2:3" ht="17" customHeight="1" x14ac:dyDescent="0.45">
      <c r="B2" s="77" t="s">
        <v>33</v>
      </c>
      <c r="C2" s="77"/>
    </row>
    <row r="3" spans="2:3" ht="17" customHeight="1" x14ac:dyDescent="0.45">
      <c r="B3" s="38" t="s">
        <v>34</v>
      </c>
      <c r="C3" s="39">
        <f>SUM('2022'!P30,'2023'!P33,'2024'!P33)+'2025'!P33</f>
        <v>-6754.7840000000033</v>
      </c>
    </row>
    <row r="4" spans="2:3" ht="17" customHeight="1" x14ac:dyDescent="0.45">
      <c r="B4" s="38" t="s">
        <v>39</v>
      </c>
      <c r="C4" s="40">
        <f>'2022'!P12+'2023'!P12+'2024'!P12+'2025'!P12</f>
        <v>53</v>
      </c>
    </row>
    <row r="5" spans="2:3" x14ac:dyDescent="0.45">
      <c r="B5" t="s">
        <v>54</v>
      </c>
      <c r="C5">
        <f>(29*2.08)-C4</f>
        <v>7.32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140</vt:i4>
      </vt:variant>
    </vt:vector>
  </HeadingPairs>
  <TitlesOfParts>
    <vt:vector size="146" baseType="lpstr">
      <vt:lpstr>2022</vt:lpstr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AOUT</vt:lpstr>
      <vt:lpstr>'2023'!AVRIL</vt:lpstr>
      <vt:lpstr>'2024'!AVRIL</vt:lpstr>
      <vt:lpstr>'2025'!AVRIL</vt:lpstr>
      <vt:lpstr>AVRIL</vt:lpstr>
      <vt:lpstr>'2022'!CRA</vt:lpstr>
      <vt:lpstr>'2023'!CRA</vt:lpstr>
      <vt:lpstr>'2024'!CRA</vt:lpstr>
      <vt:lpstr>'2025'!CRA</vt:lpstr>
      <vt:lpstr>'2022'!CRA_ASTREINTE</vt:lpstr>
      <vt:lpstr>'2023'!CRA_ASTREINTE</vt:lpstr>
      <vt:lpstr>'2024'!CRA_ASTREINTE</vt:lpstr>
      <vt:lpstr>'2025'!CRA_ASTREINTE</vt:lpstr>
      <vt:lpstr>'2022'!CRA_CP</vt:lpstr>
      <vt:lpstr>'2023'!CRA_CP</vt:lpstr>
      <vt:lpstr>'2024'!CRA_CP</vt:lpstr>
      <vt:lpstr>'2025'!CRA_CP</vt:lpstr>
      <vt:lpstr>'2022'!CRA_PRODUCTION</vt:lpstr>
      <vt:lpstr>'2023'!CRA_PRODUCTION</vt:lpstr>
      <vt:lpstr>'2024'!CRA_PRODUCTION</vt:lpstr>
      <vt:lpstr>'2025'!CRA_PRODUCTION</vt:lpstr>
      <vt:lpstr>'2022'!CRA_SANS_SOLDE</vt:lpstr>
      <vt:lpstr>'2023'!CRA_SANS_SOLDE</vt:lpstr>
      <vt:lpstr>'2024'!CRA_SANS_SOLDE</vt:lpstr>
      <vt:lpstr>'2025'!CRA_SANS_SOLDE</vt:lpstr>
      <vt:lpstr>'2022'!DECEMBRE</vt:lpstr>
      <vt:lpstr>'2023'!DECEMBRE</vt:lpstr>
      <vt:lpstr>'2024'!DECEMBRE</vt:lpstr>
      <vt:lpstr>'2025'!DECEMBRE</vt:lpstr>
      <vt:lpstr>'2022'!ENTREES</vt:lpstr>
      <vt:lpstr>'2023'!ENTREES</vt:lpstr>
      <vt:lpstr>'2024'!ENTREES</vt:lpstr>
      <vt:lpstr>'2025'!ENTREES</vt:lpstr>
      <vt:lpstr>'2022'!ENTREES_ASTREINTE</vt:lpstr>
      <vt:lpstr>'2023'!ENTREES_ASTREINTE</vt:lpstr>
      <vt:lpstr>'2024'!ENTREES_ASTREINTE</vt:lpstr>
      <vt:lpstr>'2025'!ENTREES_ASTREINTE</vt:lpstr>
      <vt:lpstr>'2022'!ENTREES_FACTURE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FEVRIER</vt:lpstr>
      <vt:lpstr>'2022'!FRAIS_KM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JANVIER</vt:lpstr>
      <vt:lpstr>'2023'!JUILLET</vt:lpstr>
      <vt:lpstr>'2024'!JUILLET</vt:lpstr>
      <vt:lpstr>'2025'!JUILLET</vt:lpstr>
      <vt:lpstr>JUILLET</vt:lpstr>
      <vt:lpstr>'2023'!JUIN</vt:lpstr>
      <vt:lpstr>'2024'!JUIN</vt:lpstr>
      <vt:lpstr>'2025'!JUIN</vt:lpstr>
      <vt:lpstr>JUIN</vt:lpstr>
      <vt:lpstr>'2023'!MAI</vt:lpstr>
      <vt:lpstr>'2024'!MAI</vt:lpstr>
      <vt:lpstr>'2025'!MAI</vt:lpstr>
      <vt:lpstr>MAI</vt:lpstr>
      <vt:lpstr>'2023'!MARS</vt:lpstr>
      <vt:lpstr>'2024'!MARS</vt:lpstr>
      <vt:lpstr>'2025'!MARS</vt:lpstr>
      <vt:lpstr>MARS</vt:lpstr>
      <vt:lpstr>'2022'!MOIS</vt:lpstr>
      <vt:lpstr>'2023'!MOIS</vt:lpstr>
      <vt:lpstr>'2024'!MOIS</vt:lpstr>
      <vt:lpstr>'2025'!MOIS</vt:lpstr>
      <vt:lpstr>'2022'!NOMBRE_KM</vt:lpstr>
      <vt:lpstr>'2023'!NOMBRE_KM</vt:lpstr>
      <vt:lpstr>'2024'!NOMBRE_KM</vt:lpstr>
      <vt:lpstr>'2025'!NOMBRE_KM</vt:lpstr>
      <vt:lpstr>'2022'!NOVEMBRE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OCTOBRE</vt:lpstr>
      <vt:lpstr>'2022'!REPAS</vt:lpstr>
      <vt:lpstr>'2023'!REPAS</vt:lpstr>
      <vt:lpstr>'2024'!REPAS</vt:lpstr>
      <vt:lpstr>'2025'!REPAS</vt:lpstr>
      <vt:lpstr>'2022'!REPAS_ACQUIS</vt:lpstr>
      <vt:lpstr>'2023'!REPAS_ACQUIS</vt:lpstr>
      <vt:lpstr>'2024'!REPAS_ACQUIS</vt:lpstr>
      <vt:lpstr>'2025'!REPAS_ACQUIS</vt:lpstr>
      <vt:lpstr>'2022'!REPAS_PRIS</vt:lpstr>
      <vt:lpstr>'2023'!REPAS_PRIS</vt:lpstr>
      <vt:lpstr>'2024'!REPAS_PRIS</vt:lpstr>
      <vt:lpstr>'2025'!REPAS_PRIS</vt:lpstr>
      <vt:lpstr>'2022'!REPAS_SOLDE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SEPTEMBRE</vt:lpstr>
      <vt:lpstr>'2022'!SOLDE</vt:lpstr>
      <vt:lpstr>'2023'!SOLDE</vt:lpstr>
      <vt:lpstr>'2024'!SOLDE</vt:lpstr>
      <vt:lpstr>'2025'!SOLDE</vt:lpstr>
      <vt:lpstr>'2022'!SORTIES</vt:lpstr>
      <vt:lpstr>'2023'!SORTIES</vt:lpstr>
      <vt:lpstr>'2024'!SORTIES</vt:lpstr>
      <vt:lpstr>'2025'!SORTIES</vt:lpstr>
      <vt:lpstr>'2022'!SORTIES_CHARGES_SOCIALES_PATRONALES</vt:lpstr>
      <vt:lpstr>'2023'!SORTIES_CHARGES_SOCIALES_PATRONALES</vt:lpstr>
      <vt:lpstr>'2024'!SORTIES_CHARGES_SOCIALES_PATRONALES</vt:lpstr>
      <vt:lpstr>'2025'!SORTIES_CHARGES_SOCIALES_PATRONALES</vt:lpstr>
      <vt:lpstr>'2022'!SORTIES_FRAIS_KM</vt:lpstr>
      <vt:lpstr>'2023'!SORTIES_FRAIS_KM</vt:lpstr>
      <vt:lpstr>'2024'!SORTIES_FRAIS_KM</vt:lpstr>
      <vt:lpstr>'2025'!SORTIES_FRAIS_KM</vt:lpstr>
      <vt:lpstr>'2022'!SORTIES_SALAIRE_NET</vt:lpstr>
      <vt:lpstr>'2023'!SORTIES_SALAIRE_NET</vt:lpstr>
      <vt:lpstr>'2024'!SORTIES_SALAIRE_NET</vt:lpstr>
      <vt:lpstr>'2025'!SORTIES_SALAIRE_NET</vt:lpstr>
      <vt:lpstr>'2022'!TOTAL</vt:lpstr>
      <vt:lpstr>'2023'!TOTAL</vt:lpstr>
      <vt:lpstr>'2024'!TOTAL</vt:lpstr>
      <vt:lpstr>'2025'!TOTAL</vt:lpstr>
      <vt:lpstr>'2022'!TOTAL_ENTREES</vt:lpstr>
      <vt:lpstr>'2023'!TOTAL_ENTREES</vt:lpstr>
      <vt:lpstr>'2024'!TOTAL_ENTREES</vt:lpstr>
      <vt:lpstr>'2025'!TOTAL_ENTREES</vt:lpstr>
      <vt:lpstr>'2022'!TOTAL_SORTIES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2025-04-25T11:17:25Z</dcterms:modified>
</cp:coreProperties>
</file>