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PC-HOUDA\Downloads\Suivi\"/>
    </mc:Choice>
  </mc:AlternateContent>
  <xr:revisionPtr revIDLastSave="0" documentId="13_ncr:1_{26A31188-4E52-40DD-BED8-632054863855}" xr6:coauthVersionLast="47" xr6:coauthVersionMax="47" xr10:uidLastSave="{00000000-0000-0000-0000-000000000000}"/>
  <bookViews>
    <workbookView xWindow="-108" yWindow="-108" windowWidth="23256" windowHeight="14856" activeTab="3" xr2:uid="{00000000-000D-0000-FFFF-FFFF00000000}"/>
  </bookViews>
  <sheets>
    <sheet name="2022" sheetId="14" r:id="rId1"/>
    <sheet name="2023" sheetId="15" r:id="rId2"/>
    <sheet name="2024" sheetId="16" r:id="rId3"/>
    <sheet name="2025" sheetId="17" r:id="rId4"/>
    <sheet name="Params" sheetId="10" r:id="rId5"/>
    <sheet name="Synthése" sheetId="13" r:id="rId6"/>
  </sheets>
  <definedNames>
    <definedName name="AOUT" localSheetId="0">'2022'!$J$3</definedName>
    <definedName name="AOUT" localSheetId="1">'2023'!$J$3</definedName>
    <definedName name="AOUT" localSheetId="2">'2024'!$J$3</definedName>
    <definedName name="AOUT" localSheetId="3">'2025'!$J$3</definedName>
    <definedName name="AOUT">#REF!</definedName>
    <definedName name="AVANCE_SUR_SALAIRE" localSheetId="0">'2022'!#REF!</definedName>
    <definedName name="AVANCE_SUR_SALAIRE" localSheetId="1">'2023'!#REF!</definedName>
    <definedName name="AVANCE_SUR_SALAIRE" localSheetId="2">'2024'!#REF!</definedName>
    <definedName name="AVANCE_SUR_SALAIRE" localSheetId="3">'2025'!#REF!</definedName>
    <definedName name="AVANCE_SUR_SALAIRE">#REF!</definedName>
    <definedName name="AVRIL" localSheetId="0">'2022'!$F$3</definedName>
    <definedName name="AVRIL" localSheetId="1">'2023'!$F$3</definedName>
    <definedName name="AVRIL" localSheetId="2">'2024'!$F$3</definedName>
    <definedName name="AVRIL" localSheetId="3">'2025'!$F$3</definedName>
    <definedName name="AVRIL">#REF!</definedName>
    <definedName name="CRA" localSheetId="0">'2022'!$B$10</definedName>
    <definedName name="CRA" localSheetId="1">'2023'!$B$10</definedName>
    <definedName name="CRA" localSheetId="2">'2024'!$B$10</definedName>
    <definedName name="CRA" localSheetId="3">'2025'!$B$10</definedName>
    <definedName name="CRA">#REF!</definedName>
    <definedName name="CRA_ASTREINTE" localSheetId="0">'2022'!$B$14</definedName>
    <definedName name="CRA_ASTREINTE" localSheetId="1">'2023'!$B$14</definedName>
    <definedName name="CRA_ASTREINTE" localSheetId="2">'2024'!$B$14</definedName>
    <definedName name="CRA_ASTREINTE" localSheetId="3">'2025'!$B$14</definedName>
    <definedName name="CRA_ASTREINTE">#REF!</definedName>
    <definedName name="CRA_CP" localSheetId="0">'2022'!$B$12</definedName>
    <definedName name="CRA_CP" localSheetId="1">'2023'!$B$12</definedName>
    <definedName name="CRA_CP" localSheetId="2">'2024'!$B$12</definedName>
    <definedName name="CRA_CP" localSheetId="3">'2025'!$B$12</definedName>
    <definedName name="CRA_CP">#REF!</definedName>
    <definedName name="CRA_PRODUCTION" localSheetId="0">'2022'!$B$11</definedName>
    <definedName name="CRA_PRODUCTION" localSheetId="1">'2023'!$B$11</definedName>
    <definedName name="CRA_PRODUCTION" localSheetId="2">'2024'!$B$11</definedName>
    <definedName name="CRA_PRODUCTION" localSheetId="3">'2025'!$B$11</definedName>
    <definedName name="CRA_PRODUCTION">#REF!</definedName>
    <definedName name="CRA_SANS_SOLDE" localSheetId="0">'2022'!$B$13</definedName>
    <definedName name="CRA_SANS_SOLDE" localSheetId="1">'2023'!$B$13</definedName>
    <definedName name="CRA_SANS_SOLDE" localSheetId="2">'2024'!$B$13</definedName>
    <definedName name="CRA_SANS_SOLDE" localSheetId="3">'2025'!$B$13</definedName>
    <definedName name="CRA_SANS_SOLDE">#REF!</definedName>
    <definedName name="DECEMBRE" localSheetId="0">'2022'!$N$3</definedName>
    <definedName name="DECEMBRE" localSheetId="1">'2023'!$N$3</definedName>
    <definedName name="DECEMBRE" localSheetId="2">'2024'!$N$3</definedName>
    <definedName name="DECEMBRE" localSheetId="3">'2025'!$N$3</definedName>
    <definedName name="DECEMBRE">#REF!</definedName>
    <definedName name="ENTREES" localSheetId="0">'2022'!$B$16</definedName>
    <definedName name="ENTREES" localSheetId="1">'2023'!$B$16</definedName>
    <definedName name="ENTREES" localSheetId="2">'2024'!$B$16</definedName>
    <definedName name="ENTREES" localSheetId="3">'2025'!$B$16</definedName>
    <definedName name="ENTREES">#REF!</definedName>
    <definedName name="ENTREES_ASTREINTE" localSheetId="0">'2022'!$B$18</definedName>
    <definedName name="ENTREES_ASTREINTE" localSheetId="1">'2023'!$B$18</definedName>
    <definedName name="ENTREES_ASTREINTE" localSheetId="2">'2024'!$B$18</definedName>
    <definedName name="ENTREES_ASTREINTE" localSheetId="3">'2025'!$B$18</definedName>
    <definedName name="ENTREES_ASTREINTE">#REF!</definedName>
    <definedName name="ENTREES_FACTURE" localSheetId="0">'2022'!$B$17</definedName>
    <definedName name="ENTREES_FACTURE" localSheetId="1">'2023'!$B$17</definedName>
    <definedName name="ENTREES_FACTURE" localSheetId="2">'2024'!$B$17</definedName>
    <definedName name="ENTREES_FACTURE" localSheetId="3">'2025'!$B$17</definedName>
    <definedName name="ENTREES_FACTURE">#REF!</definedName>
    <definedName name="FEVRIER" localSheetId="0">'2022'!$D$3</definedName>
    <definedName name="FEVRIER" localSheetId="1">'2023'!$D$3</definedName>
    <definedName name="FEVRIER" localSheetId="2">'2024'!$D$3</definedName>
    <definedName name="FEVRIER" localSheetId="3">'2025'!$D$3</definedName>
    <definedName name="FEVRIER">#REF!</definedName>
    <definedName name="JANVIER" localSheetId="0">'2022'!$C$3</definedName>
    <definedName name="JANVIER" localSheetId="1">'2023'!$C$3</definedName>
    <definedName name="JANVIER" localSheetId="2">'2024'!$C$3</definedName>
    <definedName name="JANVIER" localSheetId="3">'2025'!$C$3</definedName>
    <definedName name="JANVIER">#REF!</definedName>
    <definedName name="JUILLET" localSheetId="0">'2022'!$I$3</definedName>
    <definedName name="JUILLET" localSheetId="1">'2023'!$I$3</definedName>
    <definedName name="JUILLET" localSheetId="2">'2024'!$I$3</definedName>
    <definedName name="JUILLET" localSheetId="3">'2025'!$I$3</definedName>
    <definedName name="JUILLET">#REF!</definedName>
    <definedName name="JUIN" localSheetId="0">'2022'!$H$3</definedName>
    <definedName name="JUIN" localSheetId="1">'2023'!$H$3</definedName>
    <definedName name="JUIN" localSheetId="2">'2024'!$H$3</definedName>
    <definedName name="JUIN" localSheetId="3">'2025'!$H$3</definedName>
    <definedName name="JUIN">#REF!</definedName>
    <definedName name="MAI" localSheetId="0">'2022'!$G$3</definedName>
    <definedName name="MAI" localSheetId="1">'2023'!$G$3</definedName>
    <definedName name="MAI" localSheetId="2">'2024'!$G$3</definedName>
    <definedName name="MAI" localSheetId="3">'2025'!$G$3</definedName>
    <definedName name="MAI">#REF!</definedName>
    <definedName name="MARS" localSheetId="0">'2022'!$E$3</definedName>
    <definedName name="MARS" localSheetId="1">'2023'!$E$3</definedName>
    <definedName name="MARS" localSheetId="2">'2024'!$E$3</definedName>
    <definedName name="MARS" localSheetId="3">'2025'!$E$3</definedName>
    <definedName name="MARS">#REF!</definedName>
    <definedName name="MOIS" localSheetId="0">'2022'!$B$3</definedName>
    <definedName name="MOIS" localSheetId="1">'2023'!$B$3</definedName>
    <definedName name="MOIS" localSheetId="2">'2024'!$B$3</definedName>
    <definedName name="MOIS" localSheetId="3">'2025'!$B$3</definedName>
    <definedName name="MOIS">#REF!</definedName>
    <definedName name="NOVEMBRE" localSheetId="0">'2022'!$M$3</definedName>
    <definedName name="NOVEMBRE" localSheetId="1">'2023'!$M$3</definedName>
    <definedName name="NOVEMBRE" localSheetId="2">'2024'!$M$3</definedName>
    <definedName name="NOVEMBRE" localSheetId="3">'2025'!$M$3</definedName>
    <definedName name="NOVEMBRE">#REF!</definedName>
    <definedName name="OCTOBRE" localSheetId="0">'2022'!$L$3</definedName>
    <definedName name="OCTOBRE" localSheetId="1">'2023'!$L$3</definedName>
    <definedName name="OCTOBRE" localSheetId="2">'2024'!$L$3</definedName>
    <definedName name="OCTOBRE" localSheetId="3">'2025'!$L$3</definedName>
    <definedName name="OCTOBRE">#REF!</definedName>
    <definedName name="REPAS" localSheetId="0">'2022'!$B$5</definedName>
    <definedName name="REPAS" localSheetId="1">'2023'!$B$5</definedName>
    <definedName name="REPAS" localSheetId="2">'2024'!$B$5</definedName>
    <definedName name="REPAS" localSheetId="3">'2025'!$B$5</definedName>
    <definedName name="REPAS">#REF!</definedName>
    <definedName name="REPAS_ACQUIS" localSheetId="0">'2022'!$B$7</definedName>
    <definedName name="REPAS_ACQUIS" localSheetId="1">'2023'!$B$7</definedName>
    <definedName name="REPAS_ACQUIS" localSheetId="2">'2024'!$B$7</definedName>
    <definedName name="REPAS_ACQUIS" localSheetId="3">'2025'!$B$7</definedName>
    <definedName name="REPAS_ACQUIS">#REF!</definedName>
    <definedName name="REPAS_PRIS" localSheetId="0">'2022'!$B$6</definedName>
    <definedName name="REPAS_PRIS" localSheetId="1">'2023'!$B$6</definedName>
    <definedName name="REPAS_PRIS" localSheetId="2">'2024'!$B$6</definedName>
    <definedName name="REPAS_PRIS" localSheetId="3">'2025'!$B$6</definedName>
    <definedName name="REPAS_PRIS">#REF!</definedName>
    <definedName name="REPAS_SOLDE" localSheetId="0">'2022'!$B$8</definedName>
    <definedName name="REPAS_SOLDE" localSheetId="1">'2023'!$B$8</definedName>
    <definedName name="REPAS_SOLDE" localSheetId="2">'2024'!$B$8</definedName>
    <definedName name="REPAS_SOLDE" localSheetId="3">'2025'!$B$8</definedName>
    <definedName name="REPAS_SOLDE">#REF!</definedName>
    <definedName name="SEPTEMBRE" localSheetId="0">'2022'!$K$3</definedName>
    <definedName name="SEPTEMBRE" localSheetId="1">'2023'!$K$3</definedName>
    <definedName name="SEPTEMBRE" localSheetId="2">'2024'!$K$3</definedName>
    <definedName name="SEPTEMBRE" localSheetId="3">'2025'!$K$3</definedName>
    <definedName name="SEPTEMBRE">#REF!</definedName>
    <definedName name="SOLDE" localSheetId="0">'2022'!$B$26</definedName>
    <definedName name="SOLDE" localSheetId="1">'2023'!$B$27</definedName>
    <definedName name="SOLDE" localSheetId="2">'2024'!$B$27</definedName>
    <definedName name="SOLDE" localSheetId="3">'2025'!$B$27</definedName>
    <definedName name="SORTIES" localSheetId="0">'2022'!$B$21</definedName>
    <definedName name="SORTIES" localSheetId="1">'2023'!$B$21</definedName>
    <definedName name="SORTIES" localSheetId="2">'2024'!$B$21</definedName>
    <definedName name="SORTIES" localSheetId="3">'2025'!$B$21</definedName>
    <definedName name="SORTIES">#REF!</definedName>
    <definedName name="SORTIES_ABONDEMENT" localSheetId="0">'2022'!#REF!</definedName>
    <definedName name="SORTIES_ABONDEMENT" localSheetId="1">'2023'!#REF!</definedName>
    <definedName name="SORTIES_ABONDEMENT" localSheetId="2">'2024'!#REF!</definedName>
    <definedName name="SORTIES_ABONDEMENT" localSheetId="3">'2025'!#REF!</definedName>
    <definedName name="SORTIES_ABONDEMENT">#REF!</definedName>
    <definedName name="SORTIES_CHARGES_SOCIALES_PATRONALES" localSheetId="0">'2022'!$B$23</definedName>
    <definedName name="SORTIES_CHARGES_SOCIALES_PATRONALES" localSheetId="1">'2023'!$B$23</definedName>
    <definedName name="SORTIES_CHARGES_SOCIALES_PATRONALES" localSheetId="2">'2024'!$B$23</definedName>
    <definedName name="SORTIES_CHARGES_SOCIALES_PATRONALES" localSheetId="3">'2025'!$B$23</definedName>
    <definedName name="SORTIES_CHARGES_SOCIALES_PATRONALES">#REF!</definedName>
    <definedName name="SORTIES_FRAIS_PEE_AMUNDI" localSheetId="0">'2022'!#REF!</definedName>
    <definedName name="SORTIES_FRAIS_PEE_AMUNDI" localSheetId="1">'2023'!#REF!</definedName>
    <definedName name="SORTIES_FRAIS_PEE_AMUNDI" localSheetId="2">'2024'!#REF!</definedName>
    <definedName name="SORTIES_FRAIS_PEE_AMUNDI" localSheetId="3">'2025'!#REF!</definedName>
    <definedName name="SORTIES_FRAIS_PEE_AMUNDI">#REF!</definedName>
    <definedName name="SORTIES_INTERESSEMENT" localSheetId="0">'2022'!#REF!</definedName>
    <definedName name="SORTIES_INTERESSEMENT" localSheetId="1">'2023'!#REF!</definedName>
    <definedName name="SORTIES_INTERESSEMENT" localSheetId="2">'2024'!#REF!</definedName>
    <definedName name="SORTIES_INTERESSEMENT" localSheetId="3">'2025'!#REF!</definedName>
    <definedName name="SORTIES_INTERESSEMENT">#REF!</definedName>
    <definedName name="SORTIES_SALAIRE_NET" localSheetId="0">'2022'!$B$22</definedName>
    <definedName name="SORTIES_SALAIRE_NET" localSheetId="1">'2023'!$B$22</definedName>
    <definedName name="SORTIES_SALAIRE_NET" localSheetId="2">'2024'!$B$22</definedName>
    <definedName name="SORTIES_SALAIRE_NET" localSheetId="3">'2025'!$B$22</definedName>
    <definedName name="SORTIES_SALAIRE_NET">#REF!</definedName>
    <definedName name="TOTAL" localSheetId="0">'2022'!$P$3</definedName>
    <definedName name="TOTAL" localSheetId="1">'2023'!$P$3</definedName>
    <definedName name="TOTAL" localSheetId="2">'2024'!$P$3</definedName>
    <definedName name="TOTAL" localSheetId="3">'2025'!$P$3</definedName>
    <definedName name="TOTAL">#REF!</definedName>
    <definedName name="TOTAL_ENTREES" localSheetId="0">'2022'!$B$19</definedName>
    <definedName name="TOTAL_ENTREES" localSheetId="1">'2023'!$B$19</definedName>
    <definedName name="TOTAL_ENTREES" localSheetId="2">'2024'!$B$19</definedName>
    <definedName name="TOTAL_ENTREES" localSheetId="3">'2025'!$B$19</definedName>
    <definedName name="TOTAL_ENTREES">#REF!</definedName>
    <definedName name="TOTAL_SORTIES" localSheetId="0">'2022'!$B$24</definedName>
    <definedName name="TOTAL_SORTIES" localSheetId="1">'2023'!$B$25</definedName>
    <definedName name="TOTAL_SORTIES" localSheetId="2">'2024'!$B$25</definedName>
    <definedName name="TOTAL_SORTIES" localSheetId="3">'2025'!$B$25</definedName>
    <definedName name="TOTAL_SORTIE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x:ext xmlns:x="http://schemas.openxmlformats.org/spreadsheetml/2006/main" xmlns:mx="http://schemas.microsoft.com/office/mac/excel/2008/main" uri="{7523E5D3-25F3-A5E0-1632-64F254C22452}">
      <mx:ArchID Flags="2"/>
    </x:ext>
  </extLst>
</workbook>
</file>

<file path=xl/calcChain.xml><?xml version="1.0" encoding="utf-8"?>
<calcChain xmlns="http://schemas.openxmlformats.org/spreadsheetml/2006/main">
  <c r="C3" i="13" l="1"/>
  <c r="F27" i="17"/>
  <c r="N25" i="17"/>
  <c r="M25" i="17"/>
  <c r="L25" i="17"/>
  <c r="K25" i="17"/>
  <c r="J25" i="17"/>
  <c r="I25" i="17"/>
  <c r="H25" i="17"/>
  <c r="G25" i="17"/>
  <c r="F25" i="17"/>
  <c r="C25" i="17"/>
  <c r="P24" i="17"/>
  <c r="E23" i="17"/>
  <c r="E25" i="17" s="1"/>
  <c r="D23" i="17"/>
  <c r="D25" i="17" s="1"/>
  <c r="C23" i="17"/>
  <c r="P23" i="17" s="1"/>
  <c r="P22" i="17"/>
  <c r="N19" i="17"/>
  <c r="N27" i="17" s="1"/>
  <c r="M19" i="17"/>
  <c r="M27" i="17" s="1"/>
  <c r="L19" i="17"/>
  <c r="L27" i="17" s="1"/>
  <c r="K19" i="17"/>
  <c r="K27" i="17" s="1"/>
  <c r="J19" i="17"/>
  <c r="J27" i="17" s="1"/>
  <c r="I19" i="17"/>
  <c r="I27" i="17" s="1"/>
  <c r="H19" i="17"/>
  <c r="H27" i="17" s="1"/>
  <c r="G19" i="17"/>
  <c r="G27" i="17" s="1"/>
  <c r="F19" i="17"/>
  <c r="C19" i="17"/>
  <c r="E17" i="17"/>
  <c r="E19" i="17" s="1"/>
  <c r="D17" i="17"/>
  <c r="D19" i="17" s="1"/>
  <c r="D27" i="17" s="1"/>
  <c r="C17" i="17"/>
  <c r="P17" i="17" s="1"/>
  <c r="P14" i="17"/>
  <c r="P13" i="17"/>
  <c r="P12" i="17"/>
  <c r="P11" i="17"/>
  <c r="N8" i="17"/>
  <c r="M8" i="17"/>
  <c r="L8" i="17"/>
  <c r="K8" i="17"/>
  <c r="J8" i="17"/>
  <c r="I8" i="17"/>
  <c r="H8" i="17"/>
  <c r="G8" i="17"/>
  <c r="F8" i="17"/>
  <c r="E8" i="17"/>
  <c r="D8" i="17"/>
  <c r="C8" i="17"/>
  <c r="P8" i="17" s="1"/>
  <c r="P7" i="17"/>
  <c r="P6" i="17"/>
  <c r="L25" i="16"/>
  <c r="I25" i="16"/>
  <c r="G25" i="16"/>
  <c r="D25" i="16"/>
  <c r="P24" i="16"/>
  <c r="N23" i="16"/>
  <c r="N25" i="16" s="1"/>
  <c r="M23" i="16"/>
  <c r="M25" i="16" s="1"/>
  <c r="L23" i="16"/>
  <c r="K23" i="16"/>
  <c r="K25" i="16" s="1"/>
  <c r="J23" i="16"/>
  <c r="J25" i="16" s="1"/>
  <c r="I23" i="16"/>
  <c r="H23" i="16"/>
  <c r="H25" i="16" s="1"/>
  <c r="G23" i="16"/>
  <c r="F23" i="16"/>
  <c r="F25" i="16" s="1"/>
  <c r="E23" i="16"/>
  <c r="P23" i="16" s="1"/>
  <c r="D23" i="16"/>
  <c r="C23" i="16"/>
  <c r="C25" i="16" s="1"/>
  <c r="P22" i="16"/>
  <c r="K19" i="16"/>
  <c r="C19" i="16"/>
  <c r="N17" i="16"/>
  <c r="N19" i="16" s="1"/>
  <c r="N27" i="16" s="1"/>
  <c r="M17" i="16"/>
  <c r="M19" i="16" s="1"/>
  <c r="M27" i="16" s="1"/>
  <c r="L17" i="16"/>
  <c r="L19" i="16" s="1"/>
  <c r="L27" i="16" s="1"/>
  <c r="K17" i="16"/>
  <c r="J17" i="16"/>
  <c r="J19" i="16" s="1"/>
  <c r="J27" i="16" s="1"/>
  <c r="I17" i="16"/>
  <c r="I19" i="16" s="1"/>
  <c r="I27" i="16" s="1"/>
  <c r="H17" i="16"/>
  <c r="H19" i="16" s="1"/>
  <c r="G17" i="16"/>
  <c r="G19" i="16" s="1"/>
  <c r="G27" i="16" s="1"/>
  <c r="F17" i="16"/>
  <c r="F19" i="16" s="1"/>
  <c r="F27" i="16" s="1"/>
  <c r="E17" i="16"/>
  <c r="E19" i="16" s="1"/>
  <c r="D17" i="16"/>
  <c r="D19" i="16" s="1"/>
  <c r="D27" i="16" s="1"/>
  <c r="C17" i="16"/>
  <c r="P17" i="16" s="1"/>
  <c r="P14" i="16"/>
  <c r="P13" i="16"/>
  <c r="P12" i="16"/>
  <c r="P11" i="16"/>
  <c r="N8" i="16"/>
  <c r="M8" i="16"/>
  <c r="L8" i="16"/>
  <c r="K8" i="16"/>
  <c r="J8" i="16"/>
  <c r="I8" i="16"/>
  <c r="H8" i="16"/>
  <c r="G8" i="16"/>
  <c r="F8" i="16"/>
  <c r="E8" i="16"/>
  <c r="D8" i="16"/>
  <c r="C8" i="16"/>
  <c r="P8" i="16" s="1"/>
  <c r="P7" i="16"/>
  <c r="P6" i="16"/>
  <c r="M25" i="15"/>
  <c r="J25" i="15"/>
  <c r="G25" i="15"/>
  <c r="E25" i="15"/>
  <c r="P24" i="15"/>
  <c r="N23" i="15"/>
  <c r="N25" i="15" s="1"/>
  <c r="M23" i="15"/>
  <c r="L23" i="15"/>
  <c r="L25" i="15" s="1"/>
  <c r="K23" i="15"/>
  <c r="K25" i="15" s="1"/>
  <c r="J23" i="15"/>
  <c r="I23" i="15"/>
  <c r="I25" i="15" s="1"/>
  <c r="H23" i="15"/>
  <c r="H25" i="15" s="1"/>
  <c r="G23" i="15"/>
  <c r="F23" i="15"/>
  <c r="F25" i="15" s="1"/>
  <c r="E23" i="15"/>
  <c r="D23" i="15"/>
  <c r="D25" i="15" s="1"/>
  <c r="C23" i="15"/>
  <c r="P23" i="15" s="1"/>
  <c r="P22" i="15"/>
  <c r="N19" i="15"/>
  <c r="I19" i="15"/>
  <c r="F19" i="15"/>
  <c r="P18" i="15"/>
  <c r="N17" i="15"/>
  <c r="M17" i="15"/>
  <c r="M19" i="15" s="1"/>
  <c r="M27" i="15" s="1"/>
  <c r="L17" i="15"/>
  <c r="L19" i="15" s="1"/>
  <c r="L27" i="15" s="1"/>
  <c r="K17" i="15"/>
  <c r="K19" i="15" s="1"/>
  <c r="K27" i="15" s="1"/>
  <c r="J17" i="15"/>
  <c r="J19" i="15" s="1"/>
  <c r="J27" i="15" s="1"/>
  <c r="I17" i="15"/>
  <c r="H17" i="15"/>
  <c r="H19" i="15" s="1"/>
  <c r="G17" i="15"/>
  <c r="G19" i="15" s="1"/>
  <c r="G27" i="15" s="1"/>
  <c r="F17" i="15"/>
  <c r="E17" i="15"/>
  <c r="E19" i="15" s="1"/>
  <c r="E27" i="15" s="1"/>
  <c r="D17" i="15"/>
  <c r="D19" i="15" s="1"/>
  <c r="D27" i="15" s="1"/>
  <c r="C17" i="15"/>
  <c r="C19" i="15" s="1"/>
  <c r="P14" i="15"/>
  <c r="P13" i="15"/>
  <c r="P12" i="15"/>
  <c r="C4" i="13" s="1"/>
  <c r="C5" i="13" s="1"/>
  <c r="P11" i="15"/>
  <c r="N8" i="15"/>
  <c r="M8" i="15"/>
  <c r="L8" i="15"/>
  <c r="K8" i="15"/>
  <c r="J8" i="15"/>
  <c r="I8" i="15"/>
  <c r="H8" i="15"/>
  <c r="G8" i="15"/>
  <c r="F8" i="15"/>
  <c r="E8" i="15"/>
  <c r="D8" i="15"/>
  <c r="C8" i="15"/>
  <c r="P8" i="15" s="1"/>
  <c r="P7" i="15"/>
  <c r="P6" i="15"/>
  <c r="L26" i="14"/>
  <c r="J26" i="14"/>
  <c r="G26" i="14"/>
  <c r="D26" i="14"/>
  <c r="M24" i="14"/>
  <c r="L24" i="14"/>
  <c r="K24" i="14"/>
  <c r="J24" i="14"/>
  <c r="I24" i="14"/>
  <c r="H24" i="14"/>
  <c r="G24" i="14"/>
  <c r="F24" i="14"/>
  <c r="E24" i="14"/>
  <c r="D24" i="14"/>
  <c r="C24" i="14"/>
  <c r="N23" i="14"/>
  <c r="N24" i="14" s="1"/>
  <c r="M23" i="14"/>
  <c r="L23" i="14"/>
  <c r="P23" i="14" s="1"/>
  <c r="P22" i="14"/>
  <c r="N19" i="14"/>
  <c r="L19" i="14"/>
  <c r="K19" i="14"/>
  <c r="K26" i="14" s="1"/>
  <c r="J19" i="14"/>
  <c r="I19" i="14"/>
  <c r="I26" i="14" s="1"/>
  <c r="H19" i="14"/>
  <c r="H26" i="14" s="1"/>
  <c r="G19" i="14"/>
  <c r="F19" i="14"/>
  <c r="F26" i="14" s="1"/>
  <c r="E19" i="14"/>
  <c r="E26" i="14" s="1"/>
  <c r="D19" i="14"/>
  <c r="C19" i="14"/>
  <c r="C26" i="14" s="1"/>
  <c r="N17" i="14"/>
  <c r="M17" i="14"/>
  <c r="P17" i="14" s="1"/>
  <c r="P14" i="14"/>
  <c r="P13" i="14"/>
  <c r="P12" i="14"/>
  <c r="P11" i="14"/>
  <c r="N8" i="14"/>
  <c r="M8" i="14"/>
  <c r="L8" i="14"/>
  <c r="K8" i="14"/>
  <c r="J8" i="14"/>
  <c r="I8" i="14"/>
  <c r="H8" i="14"/>
  <c r="G8" i="14"/>
  <c r="P8" i="14" s="1"/>
  <c r="F8" i="14"/>
  <c r="E8" i="14"/>
  <c r="D8" i="14"/>
  <c r="C8" i="14"/>
  <c r="P7" i="14"/>
  <c r="P6" i="14"/>
  <c r="H27" i="15" l="1"/>
  <c r="F27" i="15"/>
  <c r="I27" i="15"/>
  <c r="E27" i="16"/>
  <c r="P24" i="14"/>
  <c r="C27" i="15"/>
  <c r="P27" i="15" s="1"/>
  <c r="P19" i="15"/>
  <c r="P19" i="16"/>
  <c r="E27" i="17"/>
  <c r="P25" i="17"/>
  <c r="H27" i="16"/>
  <c r="K27" i="16"/>
  <c r="P19" i="17"/>
  <c r="N27" i="15"/>
  <c r="N26" i="14"/>
  <c r="C25" i="15"/>
  <c r="P25" i="15" s="1"/>
  <c r="E25" i="16"/>
  <c r="P25" i="16" s="1"/>
  <c r="C27" i="17"/>
  <c r="P27" i="17" s="1"/>
  <c r="M19" i="14"/>
  <c r="M26" i="14" s="1"/>
  <c r="P26" i="14" s="1"/>
  <c r="P19" i="14"/>
  <c r="C27" i="16"/>
  <c r="P17" i="15"/>
  <c r="P27" i="16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PC-HOUDA</author>
  </authors>
  <commentList>
    <comment ref="K18" authorId="0" shapeId="0" xr:uid="{48E6CF31-5BFC-4605-B8CC-D159D2FF4C2B}">
      <text>
        <r>
          <rPr>
            <b/>
            <sz val="9"/>
            <color indexed="81"/>
            <rFont val="Tahoma"/>
            <charset val="1"/>
          </rPr>
          <t>PC-HOUDA:</t>
        </r>
        <r>
          <rPr>
            <sz val="9"/>
            <color indexed="81"/>
            <rFont val="Tahoma"/>
            <charset val="1"/>
          </rPr>
          <t xml:space="preserve">
Dans sa cagnotte</t>
        </r>
      </text>
    </comment>
    <comment ref="C24" authorId="0" shapeId="0" xr:uid="{00000000-0006-0000-0100-000001000000}">
      <text>
        <r>
          <rPr>
            <b/>
            <sz val="9"/>
            <color indexed="81"/>
            <rFont val="Tahoma"/>
            <charset val="1"/>
          </rPr>
          <t>PC-HOUDA:</t>
        </r>
        <r>
          <rPr>
            <sz val="9"/>
            <color indexed="81"/>
            <rFont val="Tahoma"/>
            <charset val="1"/>
          </rPr>
          <t xml:space="preserve">
Déduction de la cagnotte </t>
        </r>
      </text>
    </comment>
  </commentList>
</comments>
</file>

<file path=xl/sharedStrings.xml><?xml version="1.0" encoding="utf-8"?>
<sst xmlns="http://schemas.openxmlformats.org/spreadsheetml/2006/main" count="146" uniqueCount="44">
  <si>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</si>
  <si>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</si>
  <si>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</si>
  <si>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</si>
  <si>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</si>
  <si>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</si>
  <si>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</si>
  <si>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</si>
  <si>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</si>
  <si>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</si>
  <si>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</si>
  <si>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</si>
  <si>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</si>
  <si>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</si>
  <si>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</si>
  <si>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</si>
  <si>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</si>
  <si>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</si>
  <si>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</si>
  <si>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</si>
  <si>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</si>
  <si>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</si>
  <si>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</si>
  <si>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Synthése cumulé</t>
  </si>
  <si>
    <t>Solde cumulés</t>
  </si>
  <si>
    <t>SOLDE</t>
  </si>
  <si>
    <t>Total Congés Payés Pris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</si>
  <si>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</si>
  <si>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</si>
  <si>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</si>
  <si>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</si>
  <si>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</si>
  <si>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</si>
  <si>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</si>
  <si>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</si>
  <si>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</si>
  <si>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</si>
  <si>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</si>
  <si>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TJM (Octobre 2022)</t>
  </si>
  <si>
    <t xml:space="preserve">Achat </t>
  </si>
  <si>
    <t>TJM (Octobre 2023)</t>
  </si>
  <si>
    <t>Achat HT</t>
  </si>
  <si>
    <t>TJM (Novembre 2024)</t>
  </si>
  <si>
    <t>Solde Congé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</si>
</sst>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theme="9" tint="-0.249977111117893"/>
      <name val="Calibri"/>
      <family val="2"/>
      <scheme val="minor"/>
    </font>
    <font>
      <b/>
      <i/>
      <sz val="10"/>
      <color theme="9" tint="-0.249977111117893"/>
      <name val="Calibri"/>
      <family val="2"/>
      <scheme val="minor"/>
    </font>
    <font>
      <sz val="10.5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11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-0.49998474074526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69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2" borderId="4" xfId="0" applyFont="1" applyFill="1" applyBorder="1"/>
    <xf numFmtId="0" fontId="1" fillId="3" borderId="6" xfId="0" applyFont="1" applyFill="1" applyBorder="1"/>
    <xf numFmtId="0" fontId="0" fillId="0" borderId="5" xfId="0" applyBorder="1" applyProtection="1">
      <protection locked="0"/>
    </xf>
    <xf numFmtId="4" fontId="4" fillId="4" borderId="5" xfId="0" applyNumberFormat="1" applyFont="1" applyFill="1" applyBorder="1"/>
    <xf numFmtId="0" fontId="0" fillId="0" borderId="9" xfId="0" applyBorder="1"/>
    <xf numFmtId="0" fontId="0" fillId="0" borderId="5" xfId="0" applyBorder="1"/>
    <xf numFmtId="0" fontId="1" fillId="6" borderId="1" xfId="0" applyFont="1" applyFill="1" applyBorder="1" applyAlignment="1">
      <alignment horizontal="center" vertical="center"/>
    </xf>
    <xf numFmtId="0" fontId="1" fillId="7" borderId="4" xfId="0" applyFont="1" applyFill="1" applyBorder="1"/>
    <xf numFmtId="0" fontId="1" fillId="0" borderId="3" xfId="0" applyFont="1" applyBorder="1" applyAlignment="1">
      <alignment horizontal="center" vertical="center"/>
    </xf>
    <xf numFmtId="0" fontId="1" fillId="8" borderId="4" xfId="0" applyFont="1" applyFill="1" applyBorder="1"/>
    <xf numFmtId="0" fontId="0" fillId="0" borderId="10" xfId="0" applyBorder="1" applyProtection="1">
      <protection locked="0"/>
    </xf>
    <xf numFmtId="0" fontId="0" fillId="8" borderId="8" xfId="0" applyFill="1" applyBorder="1"/>
    <xf numFmtId="4" fontId="4" fillId="4" borderId="7" xfId="0" applyNumberFormat="1" applyFont="1" applyFill="1" applyBorder="1"/>
    <xf numFmtId="0" fontId="0" fillId="7" borderId="8" xfId="0" applyFill="1" applyBorder="1"/>
    <xf numFmtId="0" fontId="0" fillId="0" borderId="10" xfId="0" applyBorder="1"/>
    <xf numFmtId="0" fontId="0" fillId="0" borderId="3" xfId="0" applyBorder="1"/>
    <xf numFmtId="0" fontId="0" fillId="2" borderId="8" xfId="0" applyFill="1" applyBorder="1"/>
    <xf numFmtId="4" fontId="1" fillId="4" borderId="0" xfId="0" applyNumberFormat="1" applyFont="1" applyFill="1"/>
    <xf numFmtId="0" fontId="1" fillId="2" borderId="1" xfId="0" applyFont="1" applyFill="1" applyBorder="1"/>
    <xf numFmtId="4" fontId="1" fillId="2" borderId="1" xfId="0" applyNumberFormat="1" applyFont="1" applyFill="1" applyBorder="1"/>
    <xf numFmtId="0" fontId="1" fillId="3" borderId="4" xfId="0" applyFont="1" applyFill="1" applyBorder="1"/>
    <xf numFmtId="0" fontId="0" fillId="0" borderId="3" xfId="0" applyBorder="1" applyProtection="1">
      <protection locked="0"/>
    </xf>
    <xf numFmtId="4" fontId="0" fillId="3" borderId="8" xfId="0" applyNumberFormat="1" applyFill="1" applyBorder="1"/>
    <xf numFmtId="0" fontId="1" fillId="9" borderId="1" xfId="0" applyFont="1" applyFill="1" applyBorder="1" applyAlignment="1">
      <alignment vertical="center"/>
    </xf>
    <xf numFmtId="9" fontId="1" fillId="9" borderId="1" xfId="1" applyFont="1" applyFill="1" applyBorder="1" applyAlignment="1">
      <alignment vertical="center"/>
    </xf>
    <xf numFmtId="1" fontId="1" fillId="0" borderId="0" xfId="0" applyNumberFormat="1" applyFont="1"/>
    <xf numFmtId="1" fontId="4" fillId="4" borderId="10" xfId="0" applyNumberFormat="1" applyFont="1" applyFill="1" applyBorder="1"/>
    <xf numFmtId="1" fontId="4" fillId="0" borderId="5" xfId="0" applyNumberFormat="1" applyFont="1" applyBorder="1"/>
    <xf numFmtId="0" fontId="1" fillId="5" borderId="1" xfId="0" applyFont="1" applyFill="1" applyBorder="1"/>
    <xf numFmtId="4" fontId="1" fillId="5" borderId="1" xfId="0" applyNumberFormat="1" applyFont="1" applyFill="1" applyBorder="1"/>
    <xf numFmtId="2" fontId="1" fillId="5" borderId="1" xfId="0" applyNumberFormat="1" applyFont="1" applyFill="1" applyBorder="1"/>
    <xf numFmtId="4" fontId="1" fillId="0" borderId="5" xfId="0" applyNumberFormat="1" applyFont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4" fontId="1" fillId="0" borderId="6" xfId="0" applyNumberFormat="1" applyFont="1" applyBorder="1" applyAlignment="1">
      <alignment horizontal="center" vertical="center"/>
    </xf>
    <xf numFmtId="4" fontId="1" fillId="3" borderId="1" xfId="0" applyNumberFormat="1" applyFont="1" applyFill="1" applyBorder="1"/>
    <xf numFmtId="4" fontId="1" fillId="3" borderId="1" xfId="0" applyNumberFormat="1" applyFont="1" applyFill="1" applyBorder="1" applyAlignment="1">
      <alignment horizontal="center" vertical="center"/>
    </xf>
    <xf numFmtId="0" fontId="0" fillId="0" borderId="11" xfId="0" applyBorder="1" applyProtection="1">
      <protection locked="0"/>
    </xf>
    <xf numFmtId="0" fontId="1" fillId="10" borderId="1" xfId="0" applyFont="1" applyFill="1" applyBorder="1"/>
    <xf numFmtId="4" fontId="0" fillId="10" borderId="1" xfId="0" applyNumberFormat="1" applyFill="1" applyBorder="1"/>
    <xf numFmtId="0" fontId="1" fillId="0" borderId="0" xfId="0" applyFont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4" fontId="1" fillId="0" borderId="2" xfId="0" applyNumberFormat="1" applyFont="1" applyBorder="1" applyAlignment="1">
      <alignment horizontal="center"/>
    </xf>
    <xf numFmtId="4" fontId="1" fillId="3" borderId="1" xfId="0" applyNumberFormat="1" applyFont="1" applyFill="1" applyBorder="1" applyAlignment="1">
      <alignment horizontal="center"/>
    </xf>
    <xf numFmtId="4" fontId="8" fillId="0" borderId="0" xfId="0" applyNumberFormat="1" applyFont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4" fontId="1" fillId="10" borderId="1" xfId="0" applyNumberFormat="1" applyFont="1" applyFill="1" applyBorder="1" applyAlignment="1">
      <alignment horizontal="center"/>
    </xf>
    <xf numFmtId="0" fontId="0" fillId="8" borderId="3" xfId="0" applyFill="1" applyBorder="1"/>
    <xf numFmtId="1" fontId="4" fillId="4" borderId="5" xfId="0" applyNumberFormat="1" applyFont="1" applyFill="1" applyBorder="1"/>
    <xf numFmtId="0" fontId="0" fillId="7" borderId="3" xfId="0" applyFill="1" applyBorder="1"/>
    <xf numFmtId="0" fontId="0" fillId="2" borderId="3" xfId="0" applyFill="1" applyBorder="1"/>
    <xf numFmtId="4" fontId="0" fillId="3" borderId="3" xfId="0" applyNumberFormat="1" applyFill="1" applyBorder="1"/>
    <xf numFmtId="0" fontId="0" fillId="0" borderId="2" xfId="0" applyBorder="1" applyProtection="1">
      <protection locked="0"/>
    </xf>
    <xf numFmtId="4" fontId="4" fillId="4" borderId="2" xfId="0" applyNumberFormat="1" applyFont="1" applyFill="1" applyBorder="1"/>
    <xf numFmtId="0" fontId="1" fillId="9" borderId="2" xfId="0" applyFont="1" applyFill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P26"/>
  <sheetViews>
    <sheetView workbookViewId="0">
      <selection activeCell="L17" sqref="L17"/>
    </sheetView>
  </sheetViews>
  <sheetFormatPr baseColWidth="10" defaultRowHeight="14.4" x14ac:dyDescent="0.3"/>
  <cols>
    <col min="1" max="1" width="3" customWidth="1"/>
    <col min="2" max="2" width="28" customWidth="1"/>
    <col min="15" max="15" width="4" customWidth="1"/>
    <col min="16" max="16" width="10" style="45" customWidth="1"/>
  </cols>
  <sheetData>
    <row r="1" spans="2:16" x14ac:dyDescent="0.3">
      <c r="B1" s="64" t="s">
        <v>9</v>
      </c>
    </row>
    <row r="2" spans="2:16" x14ac:dyDescent="0.3">
      <c r="B2" s="65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3">
      <c r="B3" s="12" t="s">
        <v>5</v>
      </c>
      <c r="C3" s="12" t="s">
        <v>27</v>
      </c>
      <c r="D3" s="12" t="s">
        <v>28</v>
      </c>
      <c r="E3" s="12" t="s">
        <v>29</v>
      </c>
      <c r="F3" s="12" t="s">
        <v>30</v>
      </c>
      <c r="G3" s="12" t="s">
        <v>31</v>
      </c>
      <c r="H3" s="12" t="s">
        <v>32</v>
      </c>
      <c r="I3" s="12" t="s">
        <v>33</v>
      </c>
      <c r="J3" s="12" t="s">
        <v>34</v>
      </c>
      <c r="K3" s="12" t="s">
        <v>35</v>
      </c>
      <c r="L3" s="12" t="s">
        <v>36</v>
      </c>
      <c r="M3" s="12" t="s">
        <v>37</v>
      </c>
      <c r="N3" s="12" t="s">
        <v>10</v>
      </c>
      <c r="O3" s="1"/>
      <c r="P3" s="12" t="s">
        <v>4</v>
      </c>
    </row>
    <row r="4" spans="2:16" x14ac:dyDescent="0.3">
      <c r="B4" s="27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"/>
      <c r="P4" s="52"/>
    </row>
    <row r="5" spans="2:16" x14ac:dyDescent="0.3">
      <c r="B5" s="15" t="s">
        <v>18</v>
      </c>
      <c r="C5" s="56"/>
      <c r="D5" s="56"/>
      <c r="E5" s="56"/>
      <c r="F5" s="17"/>
      <c r="G5" s="56"/>
      <c r="H5" s="17"/>
      <c r="I5" s="56"/>
      <c r="J5" s="17"/>
      <c r="K5" s="56"/>
      <c r="L5" s="17"/>
      <c r="M5" s="56"/>
      <c r="N5" s="17"/>
      <c r="O5" s="1"/>
      <c r="P5" s="46"/>
    </row>
    <row r="6" spans="2:16" x14ac:dyDescent="0.3">
      <c r="B6" s="8" t="s">
        <v>19</v>
      </c>
      <c r="C6" s="57"/>
      <c r="D6" s="57"/>
      <c r="E6" s="57"/>
      <c r="F6" s="33"/>
      <c r="G6" s="33"/>
      <c r="H6" s="33"/>
      <c r="I6" s="33"/>
      <c r="J6" s="33"/>
      <c r="K6" s="33"/>
      <c r="L6" s="33">
        <v>1</v>
      </c>
      <c r="M6" s="33">
        <v>19</v>
      </c>
      <c r="N6" s="33">
        <v>19</v>
      </c>
      <c r="O6" s="31"/>
      <c r="P6" s="53">
        <f>SUM(C6:N6)</f>
        <v>39</v>
      </c>
    </row>
    <row r="7" spans="2:16" x14ac:dyDescent="0.3">
      <c r="B7" s="8" t="s">
        <v>20</v>
      </c>
      <c r="C7" s="33"/>
      <c r="D7" s="33"/>
      <c r="E7" s="33"/>
      <c r="F7" s="33"/>
      <c r="G7" s="33"/>
      <c r="H7" s="33"/>
      <c r="I7" s="33"/>
      <c r="J7" s="33"/>
      <c r="K7" s="33"/>
      <c r="L7" s="33"/>
      <c r="M7" s="33">
        <v>16</v>
      </c>
      <c r="N7" s="33">
        <v>22</v>
      </c>
      <c r="O7" s="31"/>
      <c r="P7" s="53">
        <f>SUM(C7:N7)</f>
        <v>38</v>
      </c>
    </row>
    <row r="8" spans="2:16" x14ac:dyDescent="0.3">
      <c r="B8" s="16" t="s">
        <v>21</v>
      </c>
      <c r="C8" s="32">
        <f t="shared" ref="C8:N8" si="0">C7-C6</f>
        <v>0</v>
      </c>
      <c r="D8" s="32">
        <f t="shared" si="0"/>
        <v>0</v>
      </c>
      <c r="E8" s="32">
        <f t="shared" si="0"/>
        <v>0</v>
      </c>
      <c r="F8" s="32">
        <f t="shared" si="0"/>
        <v>0</v>
      </c>
      <c r="G8" s="32">
        <f t="shared" si="0"/>
        <v>0</v>
      </c>
      <c r="H8" s="32">
        <f t="shared" si="0"/>
        <v>0</v>
      </c>
      <c r="I8" s="32">
        <f t="shared" si="0"/>
        <v>0</v>
      </c>
      <c r="J8" s="32">
        <f t="shared" si="0"/>
        <v>0</v>
      </c>
      <c r="K8" s="32">
        <f t="shared" si="0"/>
        <v>0</v>
      </c>
      <c r="L8" s="32">
        <f t="shared" si="0"/>
        <v>-1</v>
      </c>
      <c r="M8" s="32">
        <f t="shared" si="0"/>
        <v>-3</v>
      </c>
      <c r="N8" s="32">
        <f t="shared" si="0"/>
        <v>3</v>
      </c>
      <c r="O8" s="31"/>
      <c r="P8" s="53">
        <f>SUM(C8:N8)</f>
        <v>-1</v>
      </c>
    </row>
    <row r="9" spans="2:16" x14ac:dyDescent="0.3">
      <c r="B9" s="27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"/>
      <c r="P9" s="52"/>
    </row>
    <row r="10" spans="2:16" x14ac:dyDescent="0.3">
      <c r="B10" s="13" t="s">
        <v>17</v>
      </c>
      <c r="C10" s="58"/>
      <c r="D10" s="58"/>
      <c r="E10" s="58"/>
      <c r="F10" s="19"/>
      <c r="G10" s="58"/>
      <c r="H10" s="19"/>
      <c r="I10" s="58"/>
      <c r="J10" s="19"/>
      <c r="K10" s="58"/>
      <c r="L10" s="19"/>
      <c r="M10" s="58"/>
      <c r="N10" s="19"/>
      <c r="P10" s="47"/>
    </row>
    <row r="11" spans="2:16" x14ac:dyDescent="0.3">
      <c r="B11" s="8" t="s">
        <v>13</v>
      </c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>
        <v>16</v>
      </c>
      <c r="N11" s="10">
        <v>22</v>
      </c>
      <c r="P11" s="54">
        <f>SUM(C11:N11)</f>
        <v>38</v>
      </c>
    </row>
    <row r="12" spans="2:16" x14ac:dyDescent="0.3">
      <c r="B12" s="8" t="s">
        <v>15</v>
      </c>
      <c r="C12" s="11"/>
      <c r="D12" s="11"/>
      <c r="E12" s="11"/>
      <c r="F12" s="11"/>
      <c r="G12" s="11"/>
      <c r="H12" s="11"/>
      <c r="I12" s="11"/>
      <c r="J12" s="11"/>
      <c r="K12" s="11"/>
      <c r="L12" s="11">
        <v>1</v>
      </c>
      <c r="M12" s="11">
        <v>4</v>
      </c>
      <c r="N12" s="11"/>
      <c r="P12" s="54">
        <f>SUM(C12:N12)</f>
        <v>5</v>
      </c>
    </row>
    <row r="13" spans="2:16" x14ac:dyDescent="0.3">
      <c r="B13" s="8" t="s">
        <v>16</v>
      </c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P13" s="54">
        <f>SUM(C13:N13)</f>
        <v>0</v>
      </c>
    </row>
    <row r="14" spans="2:16" x14ac:dyDescent="0.3">
      <c r="B14" s="16" t="s">
        <v>14</v>
      </c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P14" s="54">
        <f>SUM(C14:N14)</f>
        <v>0</v>
      </c>
    </row>
    <row r="15" spans="2:16" x14ac:dyDescent="0.3">
      <c r="B15" s="27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P15" s="48"/>
    </row>
    <row r="16" spans="2:16" x14ac:dyDescent="0.3">
      <c r="B16" s="6" t="s">
        <v>0</v>
      </c>
      <c r="C16" s="59"/>
      <c r="D16" s="59"/>
      <c r="E16" s="59"/>
      <c r="F16" s="22"/>
      <c r="G16" s="59"/>
      <c r="H16" s="22"/>
      <c r="I16" s="59"/>
      <c r="J16" s="22"/>
      <c r="K16" s="59"/>
      <c r="L16" s="22"/>
      <c r="M16" s="59"/>
      <c r="N16" s="22"/>
      <c r="P16" s="49"/>
    </row>
    <row r="17" spans="2:16" x14ac:dyDescent="0.3">
      <c r="B17" s="8" t="s">
        <v>6</v>
      </c>
      <c r="C17" s="9"/>
      <c r="D17" s="9"/>
      <c r="E17" s="9"/>
      <c r="F17" s="9"/>
      <c r="G17" s="9"/>
      <c r="H17" s="9"/>
      <c r="I17" s="9"/>
      <c r="J17" s="9"/>
      <c r="K17" s="9"/>
      <c r="L17" s="9"/>
      <c r="M17" s="9">
        <f>M11*Params!$C$6*(1-Params!$C$3)-Params!$C$5</f>
        <v>8168.2000000000007</v>
      </c>
      <c r="N17" s="9">
        <f>N11*Params!$C$6*(1-Params!$C$3)-Params!$C$5</f>
        <v>11259.4</v>
      </c>
      <c r="O17" s="4"/>
      <c r="P17" s="37">
        <f>SUM(C17:N17)</f>
        <v>19427.599999999999</v>
      </c>
    </row>
    <row r="18" spans="2:16" x14ac:dyDescent="0.3">
      <c r="B18" s="8" t="s">
        <v>14</v>
      </c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4"/>
      <c r="P18" s="50"/>
    </row>
    <row r="19" spans="2:16" x14ac:dyDescent="0.3">
      <c r="B19" s="24" t="s">
        <v>2</v>
      </c>
      <c r="C19" s="25">
        <f t="shared" ref="C19:N19" si="1">SUM(C17:C18)</f>
        <v>0</v>
      </c>
      <c r="D19" s="25">
        <f t="shared" si="1"/>
        <v>0</v>
      </c>
      <c r="E19" s="25">
        <f t="shared" si="1"/>
        <v>0</v>
      </c>
      <c r="F19" s="25">
        <f t="shared" si="1"/>
        <v>0</v>
      </c>
      <c r="G19" s="25">
        <f t="shared" si="1"/>
        <v>0</v>
      </c>
      <c r="H19" s="25">
        <f t="shared" si="1"/>
        <v>0</v>
      </c>
      <c r="I19" s="25">
        <f t="shared" si="1"/>
        <v>0</v>
      </c>
      <c r="J19" s="25">
        <f t="shared" si="1"/>
        <v>0</v>
      </c>
      <c r="K19" s="25">
        <f t="shared" si="1"/>
        <v>0</v>
      </c>
      <c r="L19" s="25">
        <f t="shared" si="1"/>
        <v>0</v>
      </c>
      <c r="M19" s="25">
        <f t="shared" si="1"/>
        <v>8168.2000000000007</v>
      </c>
      <c r="N19" s="25">
        <f t="shared" si="1"/>
        <v>11259.4</v>
      </c>
      <c r="O19" s="5"/>
      <c r="P19" s="38">
        <f>SUM(C19:O19)</f>
        <v>19427.599999999999</v>
      </c>
    </row>
    <row r="20" spans="2:16" x14ac:dyDescent="0.3">
      <c r="B20" s="27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5"/>
    </row>
    <row r="21" spans="2:16" x14ac:dyDescent="0.3">
      <c r="B21" s="26" t="s">
        <v>1</v>
      </c>
      <c r="C21" s="60"/>
      <c r="D21" s="60"/>
      <c r="E21" s="60"/>
      <c r="F21" s="28"/>
      <c r="G21" s="60"/>
      <c r="H21" s="28"/>
      <c r="I21" s="60"/>
      <c r="J21" s="28"/>
      <c r="K21" s="60"/>
      <c r="L21" s="28"/>
      <c r="M21" s="60"/>
      <c r="N21" s="28"/>
      <c r="O21" s="4"/>
      <c r="P21" s="51"/>
    </row>
    <row r="22" spans="2:16" x14ac:dyDescent="0.3">
      <c r="B22" s="8" t="s">
        <v>7</v>
      </c>
      <c r="C22" s="9"/>
      <c r="D22" s="9"/>
      <c r="E22" s="9"/>
      <c r="F22" s="9"/>
      <c r="G22" s="9"/>
      <c r="H22" s="9"/>
      <c r="I22" s="9"/>
      <c r="J22" s="9"/>
      <c r="K22" s="9"/>
      <c r="L22" s="9">
        <v>363.03</v>
      </c>
      <c r="M22" s="9">
        <v>6205.44</v>
      </c>
      <c r="N22" s="9">
        <v>6205.44</v>
      </c>
      <c r="O22" s="4"/>
      <c r="P22" s="39">
        <f>SUM(C22:N22)</f>
        <v>12773.91</v>
      </c>
    </row>
    <row r="23" spans="2:16" x14ac:dyDescent="0.3">
      <c r="B23" s="8" t="s">
        <v>8</v>
      </c>
      <c r="C23" s="9"/>
      <c r="D23" s="9"/>
      <c r="E23" s="9"/>
      <c r="F23" s="9"/>
      <c r="G23" s="9"/>
      <c r="H23" s="9"/>
      <c r="I23" s="9"/>
      <c r="J23" s="9"/>
      <c r="K23" s="9"/>
      <c r="L23" s="9">
        <f>51.97+106.75</f>
        <v>158.72</v>
      </c>
      <c r="M23" s="9">
        <f>1171.69+2346.99</f>
        <v>3518.68</v>
      </c>
      <c r="N23" s="9">
        <f>1171.69+2354.88</f>
        <v>3526.57</v>
      </c>
      <c r="O23" s="4"/>
      <c r="P23" s="39">
        <f>SUM(C23:N23)</f>
        <v>7203.9699999999993</v>
      </c>
    </row>
    <row r="24" spans="2:16" x14ac:dyDescent="0.3">
      <c r="B24" s="7" t="s">
        <v>3</v>
      </c>
      <c r="C24" s="40">
        <f t="shared" ref="C24:N24" si="2">SUM(C22:C23)</f>
        <v>0</v>
      </c>
      <c r="D24" s="40">
        <f t="shared" si="2"/>
        <v>0</v>
      </c>
      <c r="E24" s="40">
        <f t="shared" si="2"/>
        <v>0</v>
      </c>
      <c r="F24" s="40">
        <f t="shared" si="2"/>
        <v>0</v>
      </c>
      <c r="G24" s="40">
        <f t="shared" si="2"/>
        <v>0</v>
      </c>
      <c r="H24" s="40">
        <f t="shared" si="2"/>
        <v>0</v>
      </c>
      <c r="I24" s="40">
        <f t="shared" si="2"/>
        <v>0</v>
      </c>
      <c r="J24" s="40">
        <f t="shared" si="2"/>
        <v>0</v>
      </c>
      <c r="K24" s="40">
        <f t="shared" si="2"/>
        <v>0</v>
      </c>
      <c r="L24" s="40">
        <f t="shared" si="2"/>
        <v>521.75</v>
      </c>
      <c r="M24" s="40">
        <f t="shared" si="2"/>
        <v>9724.119999999999</v>
      </c>
      <c r="N24" s="40">
        <f t="shared" si="2"/>
        <v>9732.01</v>
      </c>
      <c r="O24" s="4"/>
      <c r="P24" s="41">
        <f>SUM(C24:N24)</f>
        <v>19977.879999999997</v>
      </c>
    </row>
    <row r="25" spans="2:16" x14ac:dyDescent="0.3">
      <c r="B25" s="42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5"/>
    </row>
    <row r="26" spans="2:16" x14ac:dyDescent="0.3">
      <c r="B26" s="43" t="s">
        <v>25</v>
      </c>
      <c r="C26" s="44">
        <f t="shared" ref="C26:N26" si="3">C19-C24</f>
        <v>0</v>
      </c>
      <c r="D26" s="44">
        <f t="shared" si="3"/>
        <v>0</v>
      </c>
      <c r="E26" s="44">
        <f t="shared" si="3"/>
        <v>0</v>
      </c>
      <c r="F26" s="44">
        <f t="shared" si="3"/>
        <v>0</v>
      </c>
      <c r="G26" s="44">
        <f t="shared" si="3"/>
        <v>0</v>
      </c>
      <c r="H26" s="44">
        <f t="shared" si="3"/>
        <v>0</v>
      </c>
      <c r="I26" s="44">
        <f t="shared" si="3"/>
        <v>0</v>
      </c>
      <c r="J26" s="44">
        <f t="shared" si="3"/>
        <v>0</v>
      </c>
      <c r="K26" s="44">
        <f t="shared" si="3"/>
        <v>0</v>
      </c>
      <c r="L26" s="44">
        <f t="shared" si="3"/>
        <v>-521.75</v>
      </c>
      <c r="M26" s="44">
        <f t="shared" si="3"/>
        <v>-1555.9199999999983</v>
      </c>
      <c r="N26" s="44">
        <f t="shared" si="3"/>
        <v>1527.3899999999994</v>
      </c>
      <c r="P26" s="55">
        <f>SUM(C26:O26)</f>
        <v>-550.27999999999884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P27"/>
  <sheetViews>
    <sheetView workbookViewId="0">
      <selection activeCell="C25" sqref="C25"/>
    </sheetView>
  </sheetViews>
  <sheetFormatPr baseColWidth="10" defaultRowHeight="14.4" x14ac:dyDescent="0.3"/>
  <cols>
    <col min="1" max="1" width="3" customWidth="1"/>
    <col min="2" max="2" width="28" customWidth="1"/>
    <col min="15" max="15" width="4" customWidth="1"/>
    <col min="16" max="16" width="10" style="45" customWidth="1"/>
  </cols>
  <sheetData>
    <row r="1" spans="2:16" x14ac:dyDescent="0.3">
      <c r="B1" s="64" t="s">
        <v>9</v>
      </c>
    </row>
    <row r="2" spans="2:16" x14ac:dyDescent="0.3">
      <c r="B2" s="65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3">
      <c r="B3" s="12" t="s">
        <v>5</v>
      </c>
      <c r="C3" s="12" t="s">
        <v>27</v>
      </c>
      <c r="D3" s="12" t="s">
        <v>28</v>
      </c>
      <c r="E3" s="12" t="s">
        <v>29</v>
      </c>
      <c r="F3" s="12" t="s">
        <v>30</v>
      </c>
      <c r="G3" s="12" t="s">
        <v>31</v>
      </c>
      <c r="H3" s="12" t="s">
        <v>32</v>
      </c>
      <c r="I3" s="12" t="s">
        <v>33</v>
      </c>
      <c r="J3" s="12" t="s">
        <v>34</v>
      </c>
      <c r="K3" s="12" t="s">
        <v>35</v>
      </c>
      <c r="L3" s="12" t="s">
        <v>36</v>
      </c>
      <c r="M3" s="12" t="s">
        <v>37</v>
      </c>
      <c r="N3" s="12" t="s">
        <v>10</v>
      </c>
      <c r="O3" s="1"/>
      <c r="P3" s="12" t="s">
        <v>4</v>
      </c>
    </row>
    <row r="4" spans="2:16" x14ac:dyDescent="0.3">
      <c r="B4" s="27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"/>
      <c r="P4" s="52"/>
    </row>
    <row r="5" spans="2:16" x14ac:dyDescent="0.3">
      <c r="B5" s="15" t="s">
        <v>18</v>
      </c>
      <c r="C5" s="56"/>
      <c r="D5" s="56"/>
      <c r="E5" s="56"/>
      <c r="F5" s="17"/>
      <c r="G5" s="56"/>
      <c r="H5" s="17"/>
      <c r="I5" s="56"/>
      <c r="J5" s="17"/>
      <c r="K5" s="56"/>
      <c r="L5" s="17"/>
      <c r="M5" s="56"/>
      <c r="N5" s="17"/>
      <c r="O5" s="1"/>
      <c r="P5" s="46"/>
    </row>
    <row r="6" spans="2:16" x14ac:dyDescent="0.3">
      <c r="B6" s="8" t="s">
        <v>19</v>
      </c>
      <c r="C6" s="57">
        <v>19</v>
      </c>
      <c r="D6" s="57">
        <v>19</v>
      </c>
      <c r="E6" s="57">
        <v>19</v>
      </c>
      <c r="F6" s="33">
        <v>19</v>
      </c>
      <c r="G6" s="33">
        <v>19</v>
      </c>
      <c r="H6" s="33">
        <v>19</v>
      </c>
      <c r="I6" s="33">
        <v>19</v>
      </c>
      <c r="J6" s="33">
        <v>19</v>
      </c>
      <c r="K6" s="33">
        <v>19</v>
      </c>
      <c r="L6" s="33">
        <v>19</v>
      </c>
      <c r="M6" s="33">
        <v>19</v>
      </c>
      <c r="N6" s="33">
        <v>19</v>
      </c>
      <c r="O6" s="31"/>
      <c r="P6" s="53">
        <f>SUM(C6:N6)</f>
        <v>228</v>
      </c>
    </row>
    <row r="7" spans="2:16" x14ac:dyDescent="0.3">
      <c r="B7" s="8" t="s">
        <v>20</v>
      </c>
      <c r="C7" s="33">
        <v>22</v>
      </c>
      <c r="D7" s="33">
        <v>15</v>
      </c>
      <c r="E7" s="33">
        <v>23</v>
      </c>
      <c r="F7" s="33">
        <v>19</v>
      </c>
      <c r="G7" s="33">
        <v>19</v>
      </c>
      <c r="H7" s="33">
        <v>17</v>
      </c>
      <c r="I7" s="33">
        <v>20</v>
      </c>
      <c r="J7" s="33">
        <v>22</v>
      </c>
      <c r="K7" s="33">
        <v>21</v>
      </c>
      <c r="L7" s="33">
        <v>22</v>
      </c>
      <c r="M7" s="33">
        <v>18</v>
      </c>
      <c r="N7" s="33">
        <v>10</v>
      </c>
      <c r="O7" s="31"/>
      <c r="P7" s="53">
        <f>SUM(C7:N7)</f>
        <v>228</v>
      </c>
    </row>
    <row r="8" spans="2:16" x14ac:dyDescent="0.3">
      <c r="B8" s="16" t="s">
        <v>21</v>
      </c>
      <c r="C8" s="32">
        <f t="shared" ref="C8:N8" si="0">C7-C6</f>
        <v>3</v>
      </c>
      <c r="D8" s="32">
        <f t="shared" si="0"/>
        <v>-4</v>
      </c>
      <c r="E8" s="32">
        <f t="shared" si="0"/>
        <v>4</v>
      </c>
      <c r="F8" s="32">
        <f t="shared" si="0"/>
        <v>0</v>
      </c>
      <c r="G8" s="32">
        <f t="shared" si="0"/>
        <v>0</v>
      </c>
      <c r="H8" s="32">
        <f t="shared" si="0"/>
        <v>-2</v>
      </c>
      <c r="I8" s="32">
        <f t="shared" si="0"/>
        <v>1</v>
      </c>
      <c r="J8" s="32">
        <f t="shared" si="0"/>
        <v>3</v>
      </c>
      <c r="K8" s="32">
        <f t="shared" si="0"/>
        <v>2</v>
      </c>
      <c r="L8" s="32">
        <f t="shared" si="0"/>
        <v>3</v>
      </c>
      <c r="M8" s="32">
        <f t="shared" si="0"/>
        <v>-1</v>
      </c>
      <c r="N8" s="32">
        <f t="shared" si="0"/>
        <v>-9</v>
      </c>
      <c r="O8" s="31"/>
      <c r="P8" s="53">
        <f>SUM(C8:N8)</f>
        <v>0</v>
      </c>
    </row>
    <row r="9" spans="2:16" x14ac:dyDescent="0.3">
      <c r="B9" s="27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"/>
      <c r="P9" s="52"/>
    </row>
    <row r="10" spans="2:16" x14ac:dyDescent="0.3">
      <c r="B10" s="13" t="s">
        <v>17</v>
      </c>
      <c r="C10" s="58"/>
      <c r="D10" s="58"/>
      <c r="E10" s="58"/>
      <c r="F10" s="19"/>
      <c r="G10" s="58"/>
      <c r="H10" s="19"/>
      <c r="I10" s="58"/>
      <c r="J10" s="19"/>
      <c r="K10" s="58"/>
      <c r="L10" s="19"/>
      <c r="M10" s="58"/>
      <c r="N10" s="19"/>
      <c r="P10" s="47"/>
    </row>
    <row r="11" spans="2:16" x14ac:dyDescent="0.3">
      <c r="B11" s="8" t="s">
        <v>13</v>
      </c>
      <c r="C11" s="10">
        <v>22</v>
      </c>
      <c r="D11" s="10">
        <v>15</v>
      </c>
      <c r="E11" s="10">
        <v>23</v>
      </c>
      <c r="F11" s="10">
        <v>19</v>
      </c>
      <c r="G11" s="10">
        <v>19</v>
      </c>
      <c r="H11" s="10">
        <v>17</v>
      </c>
      <c r="I11" s="10">
        <v>20</v>
      </c>
      <c r="J11" s="10">
        <v>22</v>
      </c>
      <c r="K11" s="10">
        <v>21</v>
      </c>
      <c r="L11" s="10">
        <v>22</v>
      </c>
      <c r="M11" s="10">
        <v>18</v>
      </c>
      <c r="N11" s="10">
        <v>10</v>
      </c>
      <c r="P11" s="54">
        <f>SUM(C11:N11)</f>
        <v>228</v>
      </c>
    </row>
    <row r="12" spans="2:16" x14ac:dyDescent="0.3">
      <c r="B12" s="8" t="s">
        <v>15</v>
      </c>
      <c r="C12" s="11"/>
      <c r="D12" s="11">
        <v>5</v>
      </c>
      <c r="E12" s="11"/>
      <c r="F12" s="11"/>
      <c r="G12" s="11"/>
      <c r="H12" s="11">
        <v>5</v>
      </c>
      <c r="I12" s="11"/>
      <c r="J12" s="11"/>
      <c r="K12" s="11"/>
      <c r="L12" s="11"/>
      <c r="M12" s="11">
        <v>3</v>
      </c>
      <c r="N12" s="11">
        <v>10</v>
      </c>
      <c r="P12" s="54">
        <f>SUM(C12:N12)</f>
        <v>23</v>
      </c>
    </row>
    <row r="13" spans="2:16" x14ac:dyDescent="0.3">
      <c r="B13" s="8" t="s">
        <v>16</v>
      </c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P13" s="54">
        <f>SUM(C13:N13)</f>
        <v>0</v>
      </c>
    </row>
    <row r="14" spans="2:16" x14ac:dyDescent="0.3">
      <c r="B14" s="16" t="s">
        <v>14</v>
      </c>
      <c r="C14" s="20"/>
      <c r="D14" s="20"/>
      <c r="E14" s="20"/>
      <c r="F14" s="20"/>
      <c r="G14" s="20"/>
      <c r="H14" s="20"/>
      <c r="I14" s="20"/>
      <c r="J14" s="20"/>
      <c r="K14" s="20">
        <v>9</v>
      </c>
      <c r="L14" s="20"/>
      <c r="M14" s="20"/>
      <c r="N14" s="20"/>
      <c r="P14" s="54">
        <f>SUM(C14:N14)</f>
        <v>9</v>
      </c>
    </row>
    <row r="15" spans="2:16" x14ac:dyDescent="0.3">
      <c r="B15" s="27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P15" s="48"/>
    </row>
    <row r="16" spans="2:16" x14ac:dyDescent="0.3">
      <c r="B16" s="6" t="s">
        <v>0</v>
      </c>
      <c r="C16" s="59"/>
      <c r="D16" s="59"/>
      <c r="E16" s="59"/>
      <c r="F16" s="22"/>
      <c r="G16" s="59"/>
      <c r="H16" s="22"/>
      <c r="I16" s="59"/>
      <c r="J16" s="22"/>
      <c r="K16" s="59"/>
      <c r="L16" s="22"/>
      <c r="M16" s="59"/>
      <c r="N16" s="22"/>
      <c r="P16" s="49"/>
    </row>
    <row r="17" spans="2:16" x14ac:dyDescent="0.3">
      <c r="B17" s="8" t="s">
        <v>6</v>
      </c>
      <c r="C17" s="9">
        <f>C11*Params!$C$6*(1-Params!$C$3)-Params!$C$5</f>
        <v>11259.4</v>
      </c>
      <c r="D17" s="9">
        <f>D11*Params!$C$6*(1-Params!$C$3)-Params!$C$5</f>
        <v>7653</v>
      </c>
      <c r="E17" s="9">
        <f>E11*Params!$C$6*(1-Params!$C$3)-Params!$C$5</f>
        <v>11774.6</v>
      </c>
      <c r="F17" s="9">
        <f>F11*Params!$C$6*(1-Params!$C$3)-Params!$C$5</f>
        <v>9713.8000000000011</v>
      </c>
      <c r="G17" s="9">
        <f>G11*Params!$C$6*(1-Params!$C$3)-Params!$C$5</f>
        <v>9713.8000000000011</v>
      </c>
      <c r="H17" s="9">
        <f>H11*Params!$C$6*(1-Params!$C$3)-Params!$C$5</f>
        <v>8683.4</v>
      </c>
      <c r="I17" s="9">
        <f>I11*Params!$C$6*(1-Params!$C$3)-Params!$C$5</f>
        <v>10229</v>
      </c>
      <c r="J17" s="9">
        <f>J11*Params!$C$6*(1-Params!$C$3)-Params!$C$5</f>
        <v>11259.4</v>
      </c>
      <c r="K17" s="9">
        <f>K11*Params!$C$6*(1-Params!$C$3)-Params!$C$5</f>
        <v>10744.2</v>
      </c>
      <c r="L17" s="9">
        <f>L11*Params!$C$7*(1-Params!$C$3)-Params!$C$5</f>
        <v>11664.2</v>
      </c>
      <c r="M17" s="9">
        <f>M11*Params!$C$7*(1-Params!$C$3)-Params!$C$5</f>
        <v>9529.8000000000011</v>
      </c>
      <c r="N17" s="9">
        <f>N11*Params!$C$7*(1-Params!$C$3)-Params!$C$5</f>
        <v>5261</v>
      </c>
      <c r="O17" s="4"/>
      <c r="P17" s="37">
        <f>SUM(C17:N17)</f>
        <v>117485.59999999999</v>
      </c>
    </row>
    <row r="18" spans="2:16" x14ac:dyDescent="0.3">
      <c r="B18" s="8" t="s">
        <v>14</v>
      </c>
      <c r="C18" s="9"/>
      <c r="D18" s="9"/>
      <c r="E18" s="9"/>
      <c r="F18" s="9"/>
      <c r="G18" s="9"/>
      <c r="H18" s="9"/>
      <c r="I18" s="9"/>
      <c r="J18" s="9"/>
      <c r="K18" s="9">
        <v>976</v>
      </c>
      <c r="L18" s="9"/>
      <c r="M18" s="9"/>
      <c r="N18" s="9"/>
      <c r="O18" s="4"/>
      <c r="P18" s="37">
        <f t="shared" ref="P18" si="1">SUM(C18:N18)</f>
        <v>976</v>
      </c>
    </row>
    <row r="19" spans="2:16" x14ac:dyDescent="0.3">
      <c r="B19" s="24" t="s">
        <v>2</v>
      </c>
      <c r="C19" s="25">
        <f t="shared" ref="C19:N19" si="2">SUM(C17:C18)</f>
        <v>11259.4</v>
      </c>
      <c r="D19" s="25">
        <f t="shared" si="2"/>
        <v>7653</v>
      </c>
      <c r="E19" s="25">
        <f t="shared" si="2"/>
        <v>11774.6</v>
      </c>
      <c r="F19" s="25">
        <f t="shared" si="2"/>
        <v>9713.8000000000011</v>
      </c>
      <c r="G19" s="25">
        <f t="shared" si="2"/>
        <v>9713.8000000000011</v>
      </c>
      <c r="H19" s="25">
        <f t="shared" si="2"/>
        <v>8683.4</v>
      </c>
      <c r="I19" s="25">
        <f t="shared" si="2"/>
        <v>10229</v>
      </c>
      <c r="J19" s="25">
        <f t="shared" si="2"/>
        <v>11259.4</v>
      </c>
      <c r="K19" s="25">
        <f t="shared" si="2"/>
        <v>11720.2</v>
      </c>
      <c r="L19" s="25">
        <f t="shared" si="2"/>
        <v>11664.2</v>
      </c>
      <c r="M19" s="25">
        <f t="shared" si="2"/>
        <v>9529.8000000000011</v>
      </c>
      <c r="N19" s="25">
        <f t="shared" si="2"/>
        <v>5261</v>
      </c>
      <c r="O19" s="5"/>
      <c r="P19" s="38">
        <f>SUM(C19:N19)</f>
        <v>118461.59999999999</v>
      </c>
    </row>
    <row r="20" spans="2:16" x14ac:dyDescent="0.3">
      <c r="B20" s="27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5"/>
    </row>
    <row r="21" spans="2:16" x14ac:dyDescent="0.3">
      <c r="B21" s="26" t="s">
        <v>1</v>
      </c>
      <c r="C21" s="60"/>
      <c r="D21" s="60"/>
      <c r="E21" s="60"/>
      <c r="F21" s="28"/>
      <c r="G21" s="60"/>
      <c r="H21" s="28"/>
      <c r="I21" s="60"/>
      <c r="J21" s="28"/>
      <c r="K21" s="60"/>
      <c r="L21" s="28"/>
      <c r="M21" s="60"/>
      <c r="N21" s="28"/>
      <c r="O21" s="4"/>
      <c r="P21" s="51"/>
    </row>
    <row r="22" spans="2:16" x14ac:dyDescent="0.3">
      <c r="B22" s="8" t="s">
        <v>7</v>
      </c>
      <c r="C22" s="9">
        <v>6209.39</v>
      </c>
      <c r="D22" s="9">
        <v>6209.39</v>
      </c>
      <c r="E22" s="9">
        <v>6209.39</v>
      </c>
      <c r="F22" s="9">
        <v>6209.39</v>
      </c>
      <c r="G22" s="9">
        <v>6209.39</v>
      </c>
      <c r="H22" s="9">
        <v>6209.39</v>
      </c>
      <c r="I22" s="9">
        <v>6277.04</v>
      </c>
      <c r="J22" s="9">
        <v>6209.39</v>
      </c>
      <c r="K22" s="9">
        <v>6209.39</v>
      </c>
      <c r="L22" s="9">
        <v>6209.39</v>
      </c>
      <c r="M22" s="9">
        <v>6209.39</v>
      </c>
      <c r="N22" s="9">
        <v>11637.57</v>
      </c>
      <c r="O22" s="4"/>
      <c r="P22" s="39">
        <f>SUM(C22:N22)</f>
        <v>80008.510000000009</v>
      </c>
    </row>
    <row r="23" spans="2:16" x14ac:dyDescent="0.3">
      <c r="B23" s="8" t="s">
        <v>8</v>
      </c>
      <c r="C23" s="9">
        <f>1176.65+2346.79</f>
        <v>3523.44</v>
      </c>
      <c r="D23" s="9">
        <f>1176.65+2346.79</f>
        <v>3523.44</v>
      </c>
      <c r="E23" s="9">
        <f>1176.65+2359.93</f>
        <v>3536.58</v>
      </c>
      <c r="F23" s="9">
        <f>1176.65+2346.79</f>
        <v>3523.44</v>
      </c>
      <c r="G23" s="9">
        <f>1176.65+2349.67</f>
        <v>3526.32</v>
      </c>
      <c r="H23" s="9">
        <f>1176.65+2348.23</f>
        <v>3524.88</v>
      </c>
      <c r="I23" s="9">
        <f>1191.9+2389.58</f>
        <v>3581.48</v>
      </c>
      <c r="J23" s="9">
        <f>1176.65+2348.23</f>
        <v>3524.88</v>
      </c>
      <c r="K23" s="9">
        <f>1176.65+2348.23</f>
        <v>3524.88</v>
      </c>
      <c r="L23" s="9">
        <f>1176.65+2348.23</f>
        <v>3524.88</v>
      </c>
      <c r="M23" s="9">
        <f>1176.65+2348.23</f>
        <v>3524.88</v>
      </c>
      <c r="N23" s="9">
        <f>1748.47+2356.12</f>
        <v>4104.59</v>
      </c>
      <c r="O23" s="4"/>
      <c r="P23" s="39">
        <f>SUM(C23:N23)</f>
        <v>42943.69</v>
      </c>
    </row>
    <row r="24" spans="2:16" x14ac:dyDescent="0.3">
      <c r="B24" s="61" t="s">
        <v>39</v>
      </c>
      <c r="C24" s="62">
        <v>1000</v>
      </c>
      <c r="D24" s="62"/>
      <c r="E24" s="62"/>
      <c r="F24" s="62"/>
      <c r="G24" s="62"/>
      <c r="H24" s="62"/>
      <c r="I24" s="62"/>
      <c r="J24" s="62"/>
      <c r="K24" s="62"/>
      <c r="L24" s="62"/>
      <c r="M24" s="62"/>
      <c r="N24" s="62"/>
      <c r="O24" s="4"/>
      <c r="P24" s="39">
        <f>SUM(C24:N24)</f>
        <v>1000</v>
      </c>
    </row>
    <row r="25" spans="2:16" x14ac:dyDescent="0.3">
      <c r="B25" s="7" t="s">
        <v>3</v>
      </c>
      <c r="C25" s="40">
        <f t="shared" ref="C25:N25" si="3">SUM(C22:C24)</f>
        <v>10732.83</v>
      </c>
      <c r="D25" s="40">
        <f t="shared" si="3"/>
        <v>9732.83</v>
      </c>
      <c r="E25" s="40">
        <f t="shared" si="3"/>
        <v>9745.9700000000012</v>
      </c>
      <c r="F25" s="40">
        <f t="shared" si="3"/>
        <v>9732.83</v>
      </c>
      <c r="G25" s="40">
        <f t="shared" si="3"/>
        <v>9735.7100000000009</v>
      </c>
      <c r="H25" s="40">
        <f t="shared" si="3"/>
        <v>9734.27</v>
      </c>
      <c r="I25" s="40">
        <f t="shared" si="3"/>
        <v>9858.52</v>
      </c>
      <c r="J25" s="40">
        <f t="shared" si="3"/>
        <v>9734.27</v>
      </c>
      <c r="K25" s="40">
        <f t="shared" si="3"/>
        <v>9734.27</v>
      </c>
      <c r="L25" s="40">
        <f t="shared" si="3"/>
        <v>9734.27</v>
      </c>
      <c r="M25" s="40">
        <f t="shared" si="3"/>
        <v>9734.27</v>
      </c>
      <c r="N25" s="40">
        <f t="shared" si="3"/>
        <v>15742.16</v>
      </c>
      <c r="O25" s="4"/>
      <c r="P25" s="41">
        <f>SUM(C25:N25)</f>
        <v>123952.20000000003</v>
      </c>
    </row>
    <row r="26" spans="2:16" x14ac:dyDescent="0.3">
      <c r="B26" s="42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5"/>
    </row>
    <row r="27" spans="2:16" x14ac:dyDescent="0.3">
      <c r="B27" s="43" t="s">
        <v>25</v>
      </c>
      <c r="C27" s="44">
        <f t="shared" ref="C27:N27" si="4">C19-C25</f>
        <v>526.56999999999971</v>
      </c>
      <c r="D27" s="44">
        <f t="shared" si="4"/>
        <v>-2079.83</v>
      </c>
      <c r="E27" s="44">
        <f t="shared" si="4"/>
        <v>2028.6299999999992</v>
      </c>
      <c r="F27" s="44">
        <f t="shared" si="4"/>
        <v>-19.029999999998836</v>
      </c>
      <c r="G27" s="44">
        <f t="shared" si="4"/>
        <v>-21.909999999999854</v>
      </c>
      <c r="H27" s="44">
        <f t="shared" si="4"/>
        <v>-1050.8700000000008</v>
      </c>
      <c r="I27" s="44">
        <f t="shared" si="4"/>
        <v>370.47999999999956</v>
      </c>
      <c r="J27" s="44">
        <f t="shared" si="4"/>
        <v>1525.1299999999992</v>
      </c>
      <c r="K27" s="44">
        <f t="shared" si="4"/>
        <v>1985.9300000000003</v>
      </c>
      <c r="L27" s="44">
        <f t="shared" si="4"/>
        <v>1929.9300000000003</v>
      </c>
      <c r="M27" s="44">
        <f t="shared" si="4"/>
        <v>-204.46999999999935</v>
      </c>
      <c r="N27" s="44">
        <f t="shared" si="4"/>
        <v>-10481.16</v>
      </c>
      <c r="P27" s="55">
        <f>SUM(C27:N27)</f>
        <v>-5490.6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  <ignoredErrors>
    <ignoredError sqref="E23" formula="1"/>
  </ignoredErrors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FFE9D9-4EC4-4418-B6B0-2B8E7D990779}">
  <dimension ref="B1:P27"/>
  <sheetViews>
    <sheetView workbookViewId="0">
      <selection activeCell="I25" sqref="I25"/>
    </sheetView>
  </sheetViews>
  <sheetFormatPr baseColWidth="10" defaultRowHeight="14.4" x14ac:dyDescent="0.3"/>
  <cols>
    <col min="1" max="1" width="3" customWidth="1"/>
    <col min="2" max="2" width="28" customWidth="1"/>
    <col min="15" max="15" width="4" customWidth="1"/>
    <col min="16" max="16" width="10" style="45" customWidth="1"/>
  </cols>
  <sheetData>
    <row r="1" spans="2:16" x14ac:dyDescent="0.3">
      <c r="B1" s="64" t="s">
        <v>9</v>
      </c>
    </row>
    <row r="2" spans="2:16" x14ac:dyDescent="0.3">
      <c r="B2" s="65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3">
      <c r="B3" s="12" t="s">
        <v>5</v>
      </c>
      <c r="C3" s="12" t="s">
        <v>27</v>
      </c>
      <c r="D3" s="12" t="s">
        <v>28</v>
      </c>
      <c r="E3" s="12" t="s">
        <v>29</v>
      </c>
      <c r="F3" s="12" t="s">
        <v>30</v>
      </c>
      <c r="G3" s="12" t="s">
        <v>31</v>
      </c>
      <c r="H3" s="12" t="s">
        <v>32</v>
      </c>
      <c r="I3" s="12" t="s">
        <v>33</v>
      </c>
      <c r="J3" s="12" t="s">
        <v>34</v>
      </c>
      <c r="K3" s="12" t="s">
        <v>35</v>
      </c>
      <c r="L3" s="12" t="s">
        <v>36</v>
      </c>
      <c r="M3" s="12" t="s">
        <v>37</v>
      </c>
      <c r="N3" s="12" t="s">
        <v>10</v>
      </c>
      <c r="O3" s="1"/>
      <c r="P3" s="12" t="s">
        <v>4</v>
      </c>
    </row>
    <row r="4" spans="2:16" x14ac:dyDescent="0.3">
      <c r="B4" s="27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"/>
      <c r="P4" s="52"/>
    </row>
    <row r="5" spans="2:16" x14ac:dyDescent="0.3">
      <c r="B5" s="15" t="s">
        <v>18</v>
      </c>
      <c r="C5" s="56"/>
      <c r="D5" s="56"/>
      <c r="E5" s="56"/>
      <c r="F5" s="17"/>
      <c r="G5" s="56"/>
      <c r="H5" s="17"/>
      <c r="I5" s="56"/>
      <c r="J5" s="17"/>
      <c r="K5" s="56"/>
      <c r="L5" s="17"/>
      <c r="M5" s="56"/>
      <c r="N5" s="17"/>
      <c r="O5" s="1"/>
      <c r="P5" s="46"/>
    </row>
    <row r="6" spans="2:16" x14ac:dyDescent="0.3">
      <c r="B6" s="8" t="s">
        <v>19</v>
      </c>
      <c r="C6" s="57">
        <v>19</v>
      </c>
      <c r="D6" s="57">
        <v>19</v>
      </c>
      <c r="E6" s="57">
        <v>19</v>
      </c>
      <c r="F6" s="33">
        <v>19</v>
      </c>
      <c r="G6" s="33">
        <v>19</v>
      </c>
      <c r="H6" s="33">
        <v>19</v>
      </c>
      <c r="I6" s="33">
        <v>19</v>
      </c>
      <c r="J6" s="33">
        <v>19</v>
      </c>
      <c r="K6" s="33">
        <v>19</v>
      </c>
      <c r="L6" s="33">
        <v>19</v>
      </c>
      <c r="M6" s="33">
        <v>19</v>
      </c>
      <c r="N6" s="33">
        <v>19</v>
      </c>
      <c r="O6" s="31"/>
      <c r="P6" s="53">
        <f>SUM(C6:N6)</f>
        <v>228</v>
      </c>
    </row>
    <row r="7" spans="2:16" x14ac:dyDescent="0.3">
      <c r="B7" s="8" t="s">
        <v>20</v>
      </c>
      <c r="C7" s="33">
        <v>22</v>
      </c>
      <c r="D7" s="33">
        <v>21</v>
      </c>
      <c r="E7" s="33">
        <v>21</v>
      </c>
      <c r="F7" s="33">
        <v>21</v>
      </c>
      <c r="G7" s="33">
        <v>16</v>
      </c>
      <c r="H7" s="33">
        <v>11</v>
      </c>
      <c r="I7" s="33">
        <v>23</v>
      </c>
      <c r="J7" s="33">
        <v>21</v>
      </c>
      <c r="K7" s="33">
        <v>21</v>
      </c>
      <c r="L7" s="33">
        <v>16</v>
      </c>
      <c r="M7" s="33">
        <v>19</v>
      </c>
      <c r="N7" s="33">
        <v>14</v>
      </c>
      <c r="O7" s="31"/>
      <c r="P7" s="53">
        <f>SUM(C7:N7)</f>
        <v>226</v>
      </c>
    </row>
    <row r="8" spans="2:16" x14ac:dyDescent="0.3">
      <c r="B8" s="16" t="s">
        <v>21</v>
      </c>
      <c r="C8" s="32">
        <f t="shared" ref="C8:N8" si="0">C7-C6</f>
        <v>3</v>
      </c>
      <c r="D8" s="32">
        <f t="shared" si="0"/>
        <v>2</v>
      </c>
      <c r="E8" s="32">
        <f t="shared" si="0"/>
        <v>2</v>
      </c>
      <c r="F8" s="32">
        <f t="shared" si="0"/>
        <v>2</v>
      </c>
      <c r="G8" s="32">
        <f t="shared" si="0"/>
        <v>-3</v>
      </c>
      <c r="H8" s="32">
        <f t="shared" si="0"/>
        <v>-8</v>
      </c>
      <c r="I8" s="32">
        <f t="shared" si="0"/>
        <v>4</v>
      </c>
      <c r="J8" s="32">
        <f t="shared" si="0"/>
        <v>2</v>
      </c>
      <c r="K8" s="32">
        <f t="shared" si="0"/>
        <v>2</v>
      </c>
      <c r="L8" s="32">
        <f t="shared" si="0"/>
        <v>-3</v>
      </c>
      <c r="M8" s="32">
        <f t="shared" si="0"/>
        <v>0</v>
      </c>
      <c r="N8" s="32">
        <f t="shared" si="0"/>
        <v>-5</v>
      </c>
      <c r="O8" s="31"/>
      <c r="P8" s="53">
        <f>SUM(C8:N8)</f>
        <v>-2</v>
      </c>
    </row>
    <row r="9" spans="2:16" x14ac:dyDescent="0.3">
      <c r="B9" s="27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"/>
      <c r="P9" s="52"/>
    </row>
    <row r="10" spans="2:16" x14ac:dyDescent="0.3">
      <c r="B10" s="13" t="s">
        <v>17</v>
      </c>
      <c r="C10" s="58"/>
      <c r="D10" s="58"/>
      <c r="E10" s="58"/>
      <c r="F10" s="19"/>
      <c r="G10" s="58"/>
      <c r="H10" s="19"/>
      <c r="I10" s="58"/>
      <c r="J10" s="19"/>
      <c r="K10" s="58"/>
      <c r="L10" s="19"/>
      <c r="M10" s="58"/>
      <c r="N10" s="19"/>
      <c r="P10" s="47"/>
    </row>
    <row r="11" spans="2:16" x14ac:dyDescent="0.3">
      <c r="B11" s="8" t="s">
        <v>13</v>
      </c>
      <c r="C11" s="10">
        <v>22</v>
      </c>
      <c r="D11" s="10">
        <v>21</v>
      </c>
      <c r="E11" s="10">
        <v>21</v>
      </c>
      <c r="F11" s="10">
        <v>21</v>
      </c>
      <c r="G11" s="10">
        <v>16</v>
      </c>
      <c r="H11" s="10">
        <v>11</v>
      </c>
      <c r="I11" s="10">
        <v>23</v>
      </c>
      <c r="J11" s="10">
        <v>21</v>
      </c>
      <c r="K11" s="10">
        <v>21</v>
      </c>
      <c r="L11" s="10">
        <v>15.5</v>
      </c>
      <c r="M11" s="10">
        <v>19</v>
      </c>
      <c r="N11" s="10">
        <v>14</v>
      </c>
      <c r="P11" s="54">
        <f>SUM(C11:N11)</f>
        <v>225.5</v>
      </c>
    </row>
    <row r="12" spans="2:16" x14ac:dyDescent="0.3">
      <c r="B12" s="8" t="s">
        <v>15</v>
      </c>
      <c r="C12" s="11"/>
      <c r="D12" s="11"/>
      <c r="E12" s="11"/>
      <c r="F12" s="11"/>
      <c r="G12" s="11">
        <v>3</v>
      </c>
      <c r="H12" s="11">
        <v>9</v>
      </c>
      <c r="I12" s="11"/>
      <c r="J12" s="11"/>
      <c r="K12" s="11"/>
      <c r="L12" s="11">
        <v>7.5</v>
      </c>
      <c r="M12" s="11"/>
      <c r="N12" s="11">
        <v>7</v>
      </c>
      <c r="P12" s="54">
        <f>SUM(C12:N12)</f>
        <v>26.5</v>
      </c>
    </row>
    <row r="13" spans="2:16" x14ac:dyDescent="0.3">
      <c r="B13" s="8" t="s">
        <v>16</v>
      </c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P13" s="54">
        <f>SUM(C13:N13)</f>
        <v>0</v>
      </c>
    </row>
    <row r="14" spans="2:16" x14ac:dyDescent="0.3">
      <c r="B14" s="16" t="s">
        <v>14</v>
      </c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P14" s="54">
        <f>SUM(C14:N14)</f>
        <v>0</v>
      </c>
    </row>
    <row r="15" spans="2:16" x14ac:dyDescent="0.3">
      <c r="B15" s="27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P15" s="48"/>
    </row>
    <row r="16" spans="2:16" x14ac:dyDescent="0.3">
      <c r="B16" s="6" t="s">
        <v>0</v>
      </c>
      <c r="C16" s="59"/>
      <c r="D16" s="59"/>
      <c r="E16" s="59"/>
      <c r="F16" s="22"/>
      <c r="G16" s="59"/>
      <c r="H16" s="22"/>
      <c r="I16" s="59"/>
      <c r="J16" s="22"/>
      <c r="K16" s="59"/>
      <c r="L16" s="22"/>
      <c r="M16" s="59"/>
      <c r="N16" s="22"/>
      <c r="P16" s="49"/>
    </row>
    <row r="17" spans="2:16" x14ac:dyDescent="0.3">
      <c r="B17" s="8" t="s">
        <v>6</v>
      </c>
      <c r="C17" s="9">
        <f>C11*Params!$C$7*(1-Params!$C$3)-Params!$C$5</f>
        <v>11664.2</v>
      </c>
      <c r="D17" s="9">
        <f>D11*Params!$C$7*(1-Params!$C$3)-Params!$C$5</f>
        <v>11130.6</v>
      </c>
      <c r="E17" s="9">
        <f>E11*Params!$C$7*(1-Params!$C$3)-Params!$C$5</f>
        <v>11130.6</v>
      </c>
      <c r="F17" s="9">
        <f>F11*Params!$C$7*(1-Params!$C$3)-Params!$C$5</f>
        <v>11130.6</v>
      </c>
      <c r="G17" s="9">
        <f>G11*Params!$C$7*(1-Params!$C$3)-Params!$C$5</f>
        <v>8462.6</v>
      </c>
      <c r="H17" s="9">
        <f>H11*Params!$C$7*(1-Params!$C$3)-Params!$C$5</f>
        <v>5794.6</v>
      </c>
      <c r="I17" s="9">
        <f>I11*Params!$C$7*(1-Params!$C$3)-Params!$C$5</f>
        <v>12197.800000000001</v>
      </c>
      <c r="J17" s="9">
        <f>J11*Params!$C$7*(1-Params!$C$3)-Params!$C$5</f>
        <v>11130.6</v>
      </c>
      <c r="K17" s="9">
        <f>K11*Params!$C$7*(1-Params!$C$3)-Params!$C$5</f>
        <v>11130.6</v>
      </c>
      <c r="L17" s="9">
        <f>L11*Params!$C$7*(1-Params!$C$3)-Params!$C$5</f>
        <v>8195.8000000000011</v>
      </c>
      <c r="M17" s="9">
        <f>M11*Params!$C$8*(1-Params!$C$3)-Params!$C$5</f>
        <v>10587.800000000001</v>
      </c>
      <c r="N17" s="9">
        <f>N11*Params!$C$8*(1-Params!$C$3)-Params!$C$5</f>
        <v>7781.8</v>
      </c>
      <c r="O17" s="4"/>
      <c r="P17" s="37">
        <f>SUM(C17:N17)</f>
        <v>120337.60000000002</v>
      </c>
    </row>
    <row r="18" spans="2:16" x14ac:dyDescent="0.3">
      <c r="B18" s="8" t="s">
        <v>14</v>
      </c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4"/>
      <c r="P18" s="50"/>
    </row>
    <row r="19" spans="2:16" x14ac:dyDescent="0.3">
      <c r="B19" s="24" t="s">
        <v>2</v>
      </c>
      <c r="C19" s="25">
        <f t="shared" ref="C19:N19" si="1">SUM(C17:C18)</f>
        <v>11664.2</v>
      </c>
      <c r="D19" s="25">
        <f t="shared" si="1"/>
        <v>11130.6</v>
      </c>
      <c r="E19" s="25">
        <f t="shared" si="1"/>
        <v>11130.6</v>
      </c>
      <c r="F19" s="25">
        <f t="shared" si="1"/>
        <v>11130.6</v>
      </c>
      <c r="G19" s="25">
        <f t="shared" si="1"/>
        <v>8462.6</v>
      </c>
      <c r="H19" s="25">
        <f t="shared" si="1"/>
        <v>5794.6</v>
      </c>
      <c r="I19" s="25">
        <f t="shared" si="1"/>
        <v>12197.800000000001</v>
      </c>
      <c r="J19" s="25">
        <f t="shared" si="1"/>
        <v>11130.6</v>
      </c>
      <c r="K19" s="25">
        <f t="shared" si="1"/>
        <v>11130.6</v>
      </c>
      <c r="L19" s="25">
        <f t="shared" si="1"/>
        <v>8195.8000000000011</v>
      </c>
      <c r="M19" s="25">
        <f t="shared" si="1"/>
        <v>10587.800000000001</v>
      </c>
      <c r="N19" s="25">
        <f t="shared" si="1"/>
        <v>7781.8</v>
      </c>
      <c r="O19" s="5"/>
      <c r="P19" s="38">
        <f>SUM(C19:O19)</f>
        <v>120337.60000000002</v>
      </c>
    </row>
    <row r="20" spans="2:16" x14ac:dyDescent="0.3">
      <c r="B20" s="27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5"/>
    </row>
    <row r="21" spans="2:16" x14ac:dyDescent="0.3">
      <c r="B21" s="26" t="s">
        <v>1</v>
      </c>
      <c r="C21" s="60"/>
      <c r="D21" s="60"/>
      <c r="E21" s="60"/>
      <c r="F21" s="28"/>
      <c r="G21" s="60"/>
      <c r="H21" s="28"/>
      <c r="I21" s="60"/>
      <c r="J21" s="28"/>
      <c r="K21" s="60"/>
      <c r="L21" s="28"/>
      <c r="M21" s="60"/>
      <c r="N21" s="28"/>
      <c r="O21" s="4"/>
      <c r="P21" s="51"/>
    </row>
    <row r="22" spans="2:16" x14ac:dyDescent="0.3">
      <c r="B22" s="8" t="s">
        <v>7</v>
      </c>
      <c r="C22" s="9">
        <v>6202.71</v>
      </c>
      <c r="D22" s="9">
        <v>6202.71</v>
      </c>
      <c r="E22" s="9">
        <v>6202.71</v>
      </c>
      <c r="F22" s="9">
        <v>6202.71</v>
      </c>
      <c r="G22" s="9">
        <v>6202.71</v>
      </c>
      <c r="H22" s="9">
        <v>6202.71</v>
      </c>
      <c r="I22" s="9">
        <v>6202.71</v>
      </c>
      <c r="J22" s="9">
        <v>6202.71</v>
      </c>
      <c r="K22" s="9">
        <v>6202.71</v>
      </c>
      <c r="L22" s="9">
        <v>6202.71</v>
      </c>
      <c r="M22" s="9">
        <v>6461.89</v>
      </c>
      <c r="N22" s="9">
        <v>6202.71</v>
      </c>
      <c r="O22" s="4"/>
      <c r="P22" s="39">
        <f>SUM(C22:N22)</f>
        <v>74691.700000000012</v>
      </c>
    </row>
    <row r="23" spans="2:16" x14ac:dyDescent="0.3">
      <c r="B23" s="8" t="s">
        <v>8</v>
      </c>
      <c r="C23" s="9">
        <f>1190.18+2391.76</f>
        <v>3581.9400000000005</v>
      </c>
      <c r="D23" s="9">
        <f>1190.18+2365.45</f>
        <v>3555.63</v>
      </c>
      <c r="E23" s="9">
        <f>1190.18+2365.45</f>
        <v>3555.63</v>
      </c>
      <c r="F23" s="9">
        <f>1190.18+2365.45</f>
        <v>3555.63</v>
      </c>
      <c r="G23" s="9">
        <f>1190.18+2391.35</f>
        <v>3581.5299999999997</v>
      </c>
      <c r="H23" s="9">
        <f>1190.18+2391.35</f>
        <v>3581.5299999999997</v>
      </c>
      <c r="I23" s="9">
        <f>1190.18+2417.9</f>
        <v>3608.08</v>
      </c>
      <c r="J23" s="9">
        <f>1190.18+2394.23</f>
        <v>3584.41</v>
      </c>
      <c r="K23" s="9">
        <f>1190.18+2394.23</f>
        <v>3584.41</v>
      </c>
      <c r="L23" s="9">
        <f>1190.18+2394.23</f>
        <v>3584.41</v>
      </c>
      <c r="M23" s="9">
        <f>1248.59+2523.63</f>
        <v>3772.2200000000003</v>
      </c>
      <c r="N23" s="9">
        <f>1190.18+2394.23</f>
        <v>3584.41</v>
      </c>
      <c r="O23" s="4"/>
      <c r="P23" s="39">
        <f>SUM(C23:N23)</f>
        <v>43129.83</v>
      </c>
    </row>
    <row r="24" spans="2:16" x14ac:dyDescent="0.3">
      <c r="B24" s="61" t="s">
        <v>41</v>
      </c>
      <c r="C24" s="62"/>
      <c r="D24" s="62"/>
      <c r="E24" s="62"/>
      <c r="F24" s="62"/>
      <c r="G24" s="62"/>
      <c r="H24" s="62"/>
      <c r="I24" s="62">
        <v>1140.8</v>
      </c>
      <c r="J24" s="62"/>
      <c r="K24" s="62"/>
      <c r="L24" s="62"/>
      <c r="M24" s="62"/>
      <c r="N24" s="62"/>
      <c r="O24" s="4"/>
      <c r="P24" s="39">
        <f>SUM(C24:N24)</f>
        <v>1140.8</v>
      </c>
    </row>
    <row r="25" spans="2:16" x14ac:dyDescent="0.3">
      <c r="B25" s="7" t="s">
        <v>3</v>
      </c>
      <c r="C25" s="40">
        <f t="shared" ref="C25:N25" si="2">SUM(C22:C24)</f>
        <v>9784.6500000000015</v>
      </c>
      <c r="D25" s="40">
        <f t="shared" si="2"/>
        <v>9758.34</v>
      </c>
      <c r="E25" s="40">
        <f t="shared" si="2"/>
        <v>9758.34</v>
      </c>
      <c r="F25" s="40">
        <f t="shared" si="2"/>
        <v>9758.34</v>
      </c>
      <c r="G25" s="40">
        <f t="shared" si="2"/>
        <v>9784.24</v>
      </c>
      <c r="H25" s="40">
        <f t="shared" si="2"/>
        <v>9784.24</v>
      </c>
      <c r="I25" s="40">
        <f t="shared" si="2"/>
        <v>10951.59</v>
      </c>
      <c r="J25" s="40">
        <f t="shared" si="2"/>
        <v>9787.119999999999</v>
      </c>
      <c r="K25" s="40">
        <f t="shared" si="2"/>
        <v>9787.119999999999</v>
      </c>
      <c r="L25" s="40">
        <f t="shared" si="2"/>
        <v>9787.119999999999</v>
      </c>
      <c r="M25" s="40">
        <f t="shared" si="2"/>
        <v>10234.11</v>
      </c>
      <c r="N25" s="40">
        <f t="shared" si="2"/>
        <v>9787.119999999999</v>
      </c>
      <c r="O25" s="4"/>
      <c r="P25" s="41">
        <f>SUM(C25:N25)</f>
        <v>118962.32999999997</v>
      </c>
    </row>
    <row r="26" spans="2:16" x14ac:dyDescent="0.3">
      <c r="B26" s="42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5"/>
    </row>
    <row r="27" spans="2:16" x14ac:dyDescent="0.3">
      <c r="B27" s="43" t="s">
        <v>25</v>
      </c>
      <c r="C27" s="44">
        <f t="shared" ref="C27:N27" si="3">C19-C25</f>
        <v>1879.5499999999993</v>
      </c>
      <c r="D27" s="44">
        <f t="shared" si="3"/>
        <v>1372.2600000000002</v>
      </c>
      <c r="E27" s="44">
        <f t="shared" si="3"/>
        <v>1372.2600000000002</v>
      </c>
      <c r="F27" s="44">
        <f t="shared" si="3"/>
        <v>1372.2600000000002</v>
      </c>
      <c r="G27" s="44">
        <f t="shared" si="3"/>
        <v>-1321.6399999999994</v>
      </c>
      <c r="H27" s="44">
        <f t="shared" si="3"/>
        <v>-3989.6399999999994</v>
      </c>
      <c r="I27" s="44">
        <f t="shared" si="3"/>
        <v>1246.2100000000009</v>
      </c>
      <c r="J27" s="44">
        <f t="shared" si="3"/>
        <v>1343.4800000000014</v>
      </c>
      <c r="K27" s="44">
        <f t="shared" si="3"/>
        <v>1343.4800000000014</v>
      </c>
      <c r="L27" s="44">
        <f t="shared" si="3"/>
        <v>-1591.3199999999979</v>
      </c>
      <c r="M27" s="44">
        <f t="shared" si="3"/>
        <v>353.69000000000051</v>
      </c>
      <c r="N27" s="44">
        <f t="shared" si="3"/>
        <v>-2005.3199999999988</v>
      </c>
      <c r="P27" s="55">
        <f>SUM(C27:O27)</f>
        <v>1375.2700000000086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AAC969-770C-495D-8ECC-AF22C75C0736}">
  <dimension ref="B1:P27"/>
  <sheetViews>
    <sheetView tabSelected="1" workbookViewId="0">
      <selection activeCell="D7" sqref="D7"/>
    </sheetView>
  </sheetViews>
  <sheetFormatPr baseColWidth="10" defaultRowHeight="14.4" x14ac:dyDescent="0.3"/>
  <cols>
    <col min="1" max="1" width="3" customWidth="1"/>
    <col min="2" max="2" width="28" customWidth="1"/>
    <col min="15" max="15" width="4" customWidth="1"/>
    <col min="16" max="16" width="10" style="45" customWidth="1"/>
  </cols>
  <sheetData>
    <row r="1" spans="2:16" x14ac:dyDescent="0.3">
      <c r="B1" s="64" t="s">
        <v>9</v>
      </c>
    </row>
    <row r="2" spans="2:16" x14ac:dyDescent="0.3">
      <c r="B2" s="65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3">
      <c r="B3" s="12" t="s">
        <v>5</v>
      </c>
      <c r="C3" s="12" t="s">
        <v>27</v>
      </c>
      <c r="D3" s="12" t="s">
        <v>28</v>
      </c>
      <c r="E3" s="12" t="s">
        <v>29</v>
      </c>
      <c r="F3" s="12" t="s">
        <v>30</v>
      </c>
      <c r="G3" s="12" t="s">
        <v>31</v>
      </c>
      <c r="H3" s="12" t="s">
        <v>32</v>
      </c>
      <c r="I3" s="12" t="s">
        <v>33</v>
      </c>
      <c r="J3" s="12" t="s">
        <v>34</v>
      </c>
      <c r="K3" s="12" t="s">
        <v>35</v>
      </c>
      <c r="L3" s="12" t="s">
        <v>36</v>
      </c>
      <c r="M3" s="12" t="s">
        <v>37</v>
      </c>
      <c r="N3" s="12" t="s">
        <v>10</v>
      </c>
      <c r="O3" s="1"/>
      <c r="P3" s="12" t="s">
        <v>4</v>
      </c>
    </row>
    <row r="4" spans="2:16" x14ac:dyDescent="0.3">
      <c r="B4" s="27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"/>
      <c r="P4" s="52"/>
    </row>
    <row r="5" spans="2:16" x14ac:dyDescent="0.3">
      <c r="B5" s="15" t="s">
        <v>18</v>
      </c>
      <c r="C5" s="56"/>
      <c r="D5" s="56"/>
      <c r="E5" s="56"/>
      <c r="F5" s="17"/>
      <c r="G5" s="56"/>
      <c r="H5" s="17"/>
      <c r="I5" s="56"/>
      <c r="J5" s="17"/>
      <c r="K5" s="56"/>
      <c r="L5" s="17"/>
      <c r="M5" s="56"/>
      <c r="N5" s="17"/>
      <c r="O5" s="1"/>
      <c r="P5" s="46"/>
    </row>
    <row r="6" spans="2:16" x14ac:dyDescent="0.3">
      <c r="B6" s="8" t="s">
        <v>19</v>
      </c>
      <c r="C6" s="57">
        <v>19</v>
      </c>
      <c r="D6" s="57">
        <v>19</v>
      </c>
      <c r="E6" s="57">
        <v>19</v>
      </c>
      <c r="F6" s="33"/>
      <c r="G6" s="33"/>
      <c r="H6" s="33"/>
      <c r="I6" s="33"/>
      <c r="J6" s="33"/>
      <c r="K6" s="33"/>
      <c r="L6" s="33"/>
      <c r="M6" s="33"/>
      <c r="N6" s="33"/>
      <c r="O6" s="31"/>
      <c r="P6" s="53">
        <f>SUM(C6:N6)</f>
        <v>57</v>
      </c>
    </row>
    <row r="7" spans="2:16" x14ac:dyDescent="0.3">
      <c r="B7" s="8" t="s">
        <v>20</v>
      </c>
      <c r="C7" s="33">
        <v>22</v>
      </c>
      <c r="D7" s="33">
        <v>20</v>
      </c>
      <c r="E7" s="33">
        <v>21</v>
      </c>
      <c r="F7" s="33"/>
      <c r="G7" s="33"/>
      <c r="H7" s="33"/>
      <c r="I7" s="33"/>
      <c r="J7" s="33"/>
      <c r="K7" s="33"/>
      <c r="L7" s="33"/>
      <c r="M7" s="33"/>
      <c r="N7" s="33"/>
      <c r="O7" s="31"/>
      <c r="P7" s="53">
        <f>SUM(C7:N7)</f>
        <v>63</v>
      </c>
    </row>
    <row r="8" spans="2:16" x14ac:dyDescent="0.3">
      <c r="B8" s="16" t="s">
        <v>21</v>
      </c>
      <c r="C8" s="32">
        <f t="shared" ref="C8:N8" si="0">C7-C6</f>
        <v>3</v>
      </c>
      <c r="D8" s="32">
        <f t="shared" si="0"/>
        <v>1</v>
      </c>
      <c r="E8" s="32">
        <f t="shared" si="0"/>
        <v>2</v>
      </c>
      <c r="F8" s="32">
        <f t="shared" si="0"/>
        <v>0</v>
      </c>
      <c r="G8" s="32">
        <f t="shared" si="0"/>
        <v>0</v>
      </c>
      <c r="H8" s="32">
        <f t="shared" si="0"/>
        <v>0</v>
      </c>
      <c r="I8" s="32">
        <f t="shared" si="0"/>
        <v>0</v>
      </c>
      <c r="J8" s="32">
        <f t="shared" si="0"/>
        <v>0</v>
      </c>
      <c r="K8" s="32">
        <f t="shared" si="0"/>
        <v>0</v>
      </c>
      <c r="L8" s="32">
        <f t="shared" si="0"/>
        <v>0</v>
      </c>
      <c r="M8" s="32">
        <f t="shared" si="0"/>
        <v>0</v>
      </c>
      <c r="N8" s="32">
        <f t="shared" si="0"/>
        <v>0</v>
      </c>
      <c r="O8" s="31"/>
      <c r="P8" s="53">
        <f>SUM(C8:N8)</f>
        <v>6</v>
      </c>
    </row>
    <row r="9" spans="2:16" x14ac:dyDescent="0.3">
      <c r="B9" s="27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"/>
      <c r="P9" s="52"/>
    </row>
    <row r="10" spans="2:16" x14ac:dyDescent="0.3">
      <c r="B10" s="13" t="s">
        <v>17</v>
      </c>
      <c r="C10" s="58"/>
      <c r="D10" s="58"/>
      <c r="E10" s="58"/>
      <c r="F10" s="19"/>
      <c r="G10" s="58"/>
      <c r="H10" s="19"/>
      <c r="I10" s="58"/>
      <c r="J10" s="19"/>
      <c r="K10" s="58"/>
      <c r="L10" s="19"/>
      <c r="M10" s="58"/>
      <c r="N10" s="19"/>
      <c r="P10" s="47"/>
    </row>
    <row r="11" spans="2:16" x14ac:dyDescent="0.3">
      <c r="B11" s="8" t="s">
        <v>13</v>
      </c>
      <c r="C11" s="10">
        <v>22</v>
      </c>
      <c r="D11" s="10">
        <v>20</v>
      </c>
      <c r="E11" s="10">
        <v>21</v>
      </c>
      <c r="F11" s="10"/>
      <c r="G11" s="10"/>
      <c r="H11" s="10"/>
      <c r="I11" s="10"/>
      <c r="J11" s="10"/>
      <c r="K11" s="10"/>
      <c r="L11" s="10"/>
      <c r="M11" s="10"/>
      <c r="N11" s="10"/>
      <c r="P11" s="54">
        <f>SUM(C11:N11)</f>
        <v>63</v>
      </c>
    </row>
    <row r="12" spans="2:16" x14ac:dyDescent="0.3">
      <c r="B12" s="8" t="s">
        <v>15</v>
      </c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P12" s="54">
        <f>SUM(C12:N12)</f>
        <v>0</v>
      </c>
    </row>
    <row r="13" spans="2:16" x14ac:dyDescent="0.3">
      <c r="B13" s="8" t="s">
        <v>16</v>
      </c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P13" s="54">
        <f>SUM(C13:N13)</f>
        <v>0</v>
      </c>
    </row>
    <row r="14" spans="2:16" x14ac:dyDescent="0.3">
      <c r="B14" s="16" t="s">
        <v>14</v>
      </c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P14" s="54">
        <f>SUM(C14:N14)</f>
        <v>0</v>
      </c>
    </row>
    <row r="15" spans="2:16" x14ac:dyDescent="0.3">
      <c r="B15" s="27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P15" s="48"/>
    </row>
    <row r="16" spans="2:16" x14ac:dyDescent="0.3">
      <c r="B16" s="6" t="s">
        <v>0</v>
      </c>
      <c r="C16" s="59"/>
      <c r="D16" s="59"/>
      <c r="E16" s="59"/>
      <c r="F16" s="22"/>
      <c r="G16" s="59"/>
      <c r="H16" s="22"/>
      <c r="I16" s="59"/>
      <c r="J16" s="22"/>
      <c r="K16" s="59"/>
      <c r="L16" s="22"/>
      <c r="M16" s="59"/>
      <c r="N16" s="22"/>
      <c r="P16" s="49"/>
    </row>
    <row r="17" spans="2:16" x14ac:dyDescent="0.3">
      <c r="B17" s="8" t="s">
        <v>6</v>
      </c>
      <c r="C17" s="9">
        <f>C11*Params!$C$8*(1-Params!$C$3)-Params!$C$5</f>
        <v>12271.4</v>
      </c>
      <c r="D17" s="9">
        <f>D11*Params!$C$8*(1-Params!$C$4)</f>
        <v>11346</v>
      </c>
      <c r="E17" s="9">
        <f>E11*Params!$C$8*(1-Params!$C$3)-Params!$C$4</f>
        <v>11785.130000000001</v>
      </c>
      <c r="F17" s="9"/>
      <c r="G17" s="9"/>
      <c r="H17" s="9"/>
      <c r="I17" s="9"/>
      <c r="J17" s="9"/>
      <c r="K17" s="9"/>
      <c r="L17" s="9"/>
      <c r="M17" s="9"/>
      <c r="N17" s="9"/>
      <c r="O17" s="4"/>
      <c r="P17" s="37">
        <f>SUM(C17:N17)</f>
        <v>35402.53</v>
      </c>
    </row>
    <row r="18" spans="2:16" x14ac:dyDescent="0.3">
      <c r="B18" s="8" t="s">
        <v>14</v>
      </c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4"/>
      <c r="P18" s="50"/>
    </row>
    <row r="19" spans="2:16" x14ac:dyDescent="0.3">
      <c r="B19" s="24" t="s">
        <v>2</v>
      </c>
      <c r="C19" s="25">
        <f t="shared" ref="C19:N19" si="1">SUM(C17:C18)</f>
        <v>12271.4</v>
      </c>
      <c r="D19" s="25">
        <f t="shared" si="1"/>
        <v>11346</v>
      </c>
      <c r="E19" s="25">
        <f t="shared" si="1"/>
        <v>11785.130000000001</v>
      </c>
      <c r="F19" s="25">
        <f t="shared" si="1"/>
        <v>0</v>
      </c>
      <c r="G19" s="25">
        <f t="shared" si="1"/>
        <v>0</v>
      </c>
      <c r="H19" s="25">
        <f t="shared" si="1"/>
        <v>0</v>
      </c>
      <c r="I19" s="25">
        <f t="shared" si="1"/>
        <v>0</v>
      </c>
      <c r="J19" s="25">
        <f t="shared" si="1"/>
        <v>0</v>
      </c>
      <c r="K19" s="25">
        <f t="shared" si="1"/>
        <v>0</v>
      </c>
      <c r="L19" s="25">
        <f t="shared" si="1"/>
        <v>0</v>
      </c>
      <c r="M19" s="25">
        <f t="shared" si="1"/>
        <v>0</v>
      </c>
      <c r="N19" s="25">
        <f t="shared" si="1"/>
        <v>0</v>
      </c>
      <c r="O19" s="5"/>
      <c r="P19" s="38">
        <f>SUM(C19:O19)</f>
        <v>35402.53</v>
      </c>
    </row>
    <row r="20" spans="2:16" x14ac:dyDescent="0.3">
      <c r="B20" s="27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5"/>
    </row>
    <row r="21" spans="2:16" x14ac:dyDescent="0.3">
      <c r="B21" s="26" t="s">
        <v>1</v>
      </c>
      <c r="C21" s="60"/>
      <c r="D21" s="60"/>
      <c r="E21" s="60"/>
      <c r="F21" s="28"/>
      <c r="G21" s="60"/>
      <c r="H21" s="28"/>
      <c r="I21" s="60"/>
      <c r="J21" s="28"/>
      <c r="K21" s="60"/>
      <c r="L21" s="28"/>
      <c r="M21" s="60"/>
      <c r="N21" s="28"/>
      <c r="O21" s="4"/>
      <c r="P21" s="51"/>
    </row>
    <row r="22" spans="2:16" x14ac:dyDescent="0.3">
      <c r="B22" s="8" t="s">
        <v>7</v>
      </c>
      <c r="C22" s="9">
        <v>6203.65</v>
      </c>
      <c r="D22" s="9">
        <v>6826.32</v>
      </c>
      <c r="E22" s="9">
        <v>5156.67</v>
      </c>
      <c r="F22" s="9"/>
      <c r="G22" s="9"/>
      <c r="H22" s="9"/>
      <c r="I22" s="9"/>
      <c r="J22" s="9"/>
      <c r="K22" s="9"/>
      <c r="L22" s="9"/>
      <c r="M22" s="9"/>
      <c r="N22" s="9"/>
      <c r="O22" s="4"/>
      <c r="P22" s="39">
        <f>SUM(C22:N22)</f>
        <v>18186.64</v>
      </c>
    </row>
    <row r="23" spans="2:16" x14ac:dyDescent="0.3">
      <c r="B23" s="8" t="s">
        <v>8</v>
      </c>
      <c r="C23" s="9">
        <f>1196.2+2418.99</f>
        <v>3615.1899999999996</v>
      </c>
      <c r="D23" s="9">
        <f>1306.24+2636.37</f>
        <v>3942.6099999999997</v>
      </c>
      <c r="E23" s="9">
        <f>1026.15+2080.65</f>
        <v>3106.8</v>
      </c>
      <c r="F23" s="9"/>
      <c r="G23" s="9"/>
      <c r="H23" s="9"/>
      <c r="I23" s="9"/>
      <c r="J23" s="9"/>
      <c r="K23" s="9"/>
      <c r="L23" s="9"/>
      <c r="M23" s="9"/>
      <c r="N23" s="9"/>
      <c r="O23" s="4"/>
      <c r="P23" s="39">
        <f>SUM(C23:N23)</f>
        <v>10664.599999999999</v>
      </c>
    </row>
    <row r="24" spans="2:16" x14ac:dyDescent="0.3">
      <c r="B24" s="61" t="s">
        <v>41</v>
      </c>
      <c r="C24" s="62"/>
      <c r="D24" s="62"/>
      <c r="E24" s="62"/>
      <c r="F24" s="62"/>
      <c r="G24" s="62"/>
      <c r="H24" s="62"/>
      <c r="I24" s="62"/>
      <c r="J24" s="62"/>
      <c r="K24" s="62"/>
      <c r="L24" s="62"/>
      <c r="M24" s="62"/>
      <c r="N24" s="62"/>
      <c r="O24" s="4"/>
      <c r="P24" s="39">
        <f>SUM(C24:N24)</f>
        <v>0</v>
      </c>
    </row>
    <row r="25" spans="2:16" x14ac:dyDescent="0.3">
      <c r="B25" s="7" t="s">
        <v>3</v>
      </c>
      <c r="C25" s="40">
        <f t="shared" ref="C25:N25" si="2">SUM(C22:C24)</f>
        <v>9818.84</v>
      </c>
      <c r="D25" s="40">
        <f t="shared" si="2"/>
        <v>10768.93</v>
      </c>
      <c r="E25" s="40">
        <f t="shared" si="2"/>
        <v>8263.4700000000012</v>
      </c>
      <c r="F25" s="40">
        <f t="shared" si="2"/>
        <v>0</v>
      </c>
      <c r="G25" s="40">
        <f t="shared" si="2"/>
        <v>0</v>
      </c>
      <c r="H25" s="40">
        <f t="shared" si="2"/>
        <v>0</v>
      </c>
      <c r="I25" s="40">
        <f t="shared" si="2"/>
        <v>0</v>
      </c>
      <c r="J25" s="40">
        <f t="shared" si="2"/>
        <v>0</v>
      </c>
      <c r="K25" s="40">
        <f t="shared" si="2"/>
        <v>0</v>
      </c>
      <c r="L25" s="40">
        <f t="shared" si="2"/>
        <v>0</v>
      </c>
      <c r="M25" s="40">
        <f t="shared" si="2"/>
        <v>0</v>
      </c>
      <c r="N25" s="40">
        <f t="shared" si="2"/>
        <v>0</v>
      </c>
      <c r="O25" s="4"/>
      <c r="P25" s="41">
        <f>SUM(C25:N25)</f>
        <v>28851.24</v>
      </c>
    </row>
    <row r="26" spans="2:16" x14ac:dyDescent="0.3">
      <c r="B26" s="42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5"/>
    </row>
    <row r="27" spans="2:16" x14ac:dyDescent="0.3">
      <c r="B27" s="43" t="s">
        <v>25</v>
      </c>
      <c r="C27" s="44">
        <f t="shared" ref="C27:N27" si="3">C19-C25</f>
        <v>2452.5599999999995</v>
      </c>
      <c r="D27" s="44">
        <f t="shared" si="3"/>
        <v>577.06999999999971</v>
      </c>
      <c r="E27" s="44">
        <f t="shared" si="3"/>
        <v>3521.66</v>
      </c>
      <c r="F27" s="44">
        <f t="shared" si="3"/>
        <v>0</v>
      </c>
      <c r="G27" s="44">
        <f t="shared" si="3"/>
        <v>0</v>
      </c>
      <c r="H27" s="44">
        <f t="shared" si="3"/>
        <v>0</v>
      </c>
      <c r="I27" s="44">
        <f t="shared" si="3"/>
        <v>0</v>
      </c>
      <c r="J27" s="44">
        <f t="shared" si="3"/>
        <v>0</v>
      </c>
      <c r="K27" s="44">
        <f t="shared" si="3"/>
        <v>0</v>
      </c>
      <c r="L27" s="44">
        <f t="shared" si="3"/>
        <v>0</v>
      </c>
      <c r="M27" s="44">
        <f t="shared" si="3"/>
        <v>0</v>
      </c>
      <c r="N27" s="44">
        <f t="shared" si="3"/>
        <v>0</v>
      </c>
      <c r="P27" s="55">
        <f>SUM(C27:O27)</f>
        <v>6551.2899999999991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C8"/>
  <sheetViews>
    <sheetView workbookViewId="0">
      <selection activeCell="C5" sqref="C5"/>
    </sheetView>
  </sheetViews>
  <sheetFormatPr baseColWidth="10" defaultRowHeight="14.4" x14ac:dyDescent="0.3"/>
  <cols>
    <col min="1" max="1" width="2" customWidth="1"/>
    <col min="2" max="2" width="32" customWidth="1"/>
    <col min="3" max="3" width="28.77734375" customWidth="1"/>
  </cols>
  <sheetData>
    <row r="2" spans="2:3" ht="30" customHeight="1" x14ac:dyDescent="0.3">
      <c r="B2" s="66" t="s">
        <v>22</v>
      </c>
      <c r="C2" s="67"/>
    </row>
    <row r="3" spans="2:3" ht="30" customHeight="1" x14ac:dyDescent="0.3">
      <c r="B3" s="29" t="s">
        <v>11</v>
      </c>
      <c r="C3" s="30">
        <v>0.08</v>
      </c>
    </row>
    <row r="4" spans="2:3" ht="30" customHeight="1" x14ac:dyDescent="0.3">
      <c r="B4" s="29" t="s">
        <v>11</v>
      </c>
      <c r="C4" s="30">
        <v>7.0000000000000007E-2</v>
      </c>
    </row>
    <row r="5" spans="2:3" ht="30" customHeight="1" x14ac:dyDescent="0.3">
      <c r="B5" s="29" t="s">
        <v>12</v>
      </c>
      <c r="C5" s="29">
        <v>75</v>
      </c>
    </row>
    <row r="6" spans="2:3" ht="30" customHeight="1" x14ac:dyDescent="0.3">
      <c r="B6" s="29" t="s">
        <v>38</v>
      </c>
      <c r="C6" s="29">
        <v>560</v>
      </c>
    </row>
    <row r="7" spans="2:3" ht="22.95" customHeight="1" x14ac:dyDescent="0.3">
      <c r="B7" s="29" t="s">
        <v>40</v>
      </c>
      <c r="C7" s="29">
        <v>580</v>
      </c>
    </row>
    <row r="8" spans="2:3" x14ac:dyDescent="0.3">
      <c r="B8" s="63" t="s">
        <v>42</v>
      </c>
      <c r="C8" s="63">
        <v>610</v>
      </c>
    </row>
  </sheetData>
  <mergeCells count="1">
    <mergeCell ref="B2:C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C5"/>
  <sheetViews>
    <sheetView workbookViewId="0">
      <selection activeCell="C3" sqref="C3"/>
    </sheetView>
  </sheetViews>
  <sheetFormatPr baseColWidth="10" defaultRowHeight="14.4" x14ac:dyDescent="0.3"/>
  <cols>
    <col min="2" max="2" width="20.33203125" customWidth="1"/>
  </cols>
  <sheetData>
    <row r="2" spans="2:3" ht="16.95" customHeight="1" x14ac:dyDescent="0.3">
      <c r="B2" s="68" t="s">
        <v>23</v>
      </c>
      <c r="C2" s="68"/>
    </row>
    <row r="3" spans="2:3" ht="16.95" customHeight="1" x14ac:dyDescent="0.3">
      <c r="B3" s="34" t="s">
        <v>24</v>
      </c>
      <c r="C3" s="35">
        <f>'2022'!P26+'2023'!P27+'2024'!P27+'2025'!P27</f>
        <v>1885.6800000000085</v>
      </c>
    </row>
    <row r="4" spans="2:3" ht="16.95" customHeight="1" x14ac:dyDescent="0.3">
      <c r="B4" s="34" t="s">
        <v>26</v>
      </c>
      <c r="C4" s="36">
        <f>SUM('2022'!P12)+('2023'!P12)+('2024'!P12)</f>
        <v>54.5</v>
      </c>
    </row>
    <row r="5" spans="2:3" x14ac:dyDescent="0.3">
      <c r="B5" t="s">
        <v>43</v>
      </c>
      <c r="C5">
        <f>(2.08*28)-C4</f>
        <v>3.740000000000002</v>
      </c>
    </row>
  </sheetData>
  <mergeCells count="1">
    <mergeCell ref="B2:C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6</vt:i4>
      </vt:variant>
      <vt:variant>
        <vt:lpstr>Plages nommées</vt:lpstr>
      </vt:variant>
      <vt:variant>
        <vt:i4>128</vt:i4>
      </vt:variant>
    </vt:vector>
  </HeadingPairs>
  <TitlesOfParts>
    <vt:vector size="134" baseType="lpstr">
      <vt:lpstr>2022</vt:lpstr>
      <vt:lpstr>2023</vt:lpstr>
      <vt:lpstr>2024</vt:lpstr>
      <vt:lpstr>2025</vt:lpstr>
      <vt:lpstr>Params</vt:lpstr>
      <vt:lpstr>Synthése</vt:lpstr>
      <vt:lpstr>'2022'!AOUT</vt:lpstr>
      <vt:lpstr>'2023'!AOUT</vt:lpstr>
      <vt:lpstr>'2024'!AOUT</vt:lpstr>
      <vt:lpstr>'2025'!AOUT</vt:lpstr>
      <vt:lpstr>'2022'!AVRIL</vt:lpstr>
      <vt:lpstr>'2023'!AVRIL</vt:lpstr>
      <vt:lpstr>'2024'!AVRIL</vt:lpstr>
      <vt:lpstr>'2025'!AVRIL</vt:lpstr>
      <vt:lpstr>'2022'!CRA</vt:lpstr>
      <vt:lpstr>'2023'!CRA</vt:lpstr>
      <vt:lpstr>'2024'!CRA</vt:lpstr>
      <vt:lpstr>'2025'!CRA</vt:lpstr>
      <vt:lpstr>'2022'!CRA_ASTREINTE</vt:lpstr>
      <vt:lpstr>'2023'!CRA_ASTREINTE</vt:lpstr>
      <vt:lpstr>'2024'!CRA_ASTREINTE</vt:lpstr>
      <vt:lpstr>'2025'!CRA_ASTREINTE</vt:lpstr>
      <vt:lpstr>'2022'!CRA_CP</vt:lpstr>
      <vt:lpstr>'2023'!CRA_CP</vt:lpstr>
      <vt:lpstr>'2024'!CRA_CP</vt:lpstr>
      <vt:lpstr>'2025'!CRA_CP</vt:lpstr>
      <vt:lpstr>'2022'!CRA_PRODUCTION</vt:lpstr>
      <vt:lpstr>'2023'!CRA_PRODUCTION</vt:lpstr>
      <vt:lpstr>'2024'!CRA_PRODUCTION</vt:lpstr>
      <vt:lpstr>'2025'!CRA_PRODUCTION</vt:lpstr>
      <vt:lpstr>'2022'!CRA_SANS_SOLDE</vt:lpstr>
      <vt:lpstr>'2023'!CRA_SANS_SOLDE</vt:lpstr>
      <vt:lpstr>'2024'!CRA_SANS_SOLDE</vt:lpstr>
      <vt:lpstr>'2025'!CRA_SANS_SOLDE</vt:lpstr>
      <vt:lpstr>'2022'!DECEMBRE</vt:lpstr>
      <vt:lpstr>'2023'!DECEMBRE</vt:lpstr>
      <vt:lpstr>'2024'!DECEMBRE</vt:lpstr>
      <vt:lpstr>'2025'!DECEMBRE</vt:lpstr>
      <vt:lpstr>'2022'!ENTREES</vt:lpstr>
      <vt:lpstr>'2023'!ENTREES</vt:lpstr>
      <vt:lpstr>'2024'!ENTREES</vt:lpstr>
      <vt:lpstr>'2025'!ENTREES</vt:lpstr>
      <vt:lpstr>'2022'!ENTREES_ASTREINTE</vt:lpstr>
      <vt:lpstr>'2023'!ENTREES_ASTREINTE</vt:lpstr>
      <vt:lpstr>'2024'!ENTREES_ASTREINTE</vt:lpstr>
      <vt:lpstr>'2025'!ENTREES_ASTREINTE</vt:lpstr>
      <vt:lpstr>'2022'!ENTREES_FACTURE</vt:lpstr>
      <vt:lpstr>'2023'!ENTREES_FACTURE</vt:lpstr>
      <vt:lpstr>'2024'!ENTREES_FACTURE</vt:lpstr>
      <vt:lpstr>'2025'!ENTREES_FACTURE</vt:lpstr>
      <vt:lpstr>'2022'!FEVRIER</vt:lpstr>
      <vt:lpstr>'2023'!FEVRIER</vt:lpstr>
      <vt:lpstr>'2024'!FEVRIER</vt:lpstr>
      <vt:lpstr>'2025'!FEVRIER</vt:lpstr>
      <vt:lpstr>'2022'!JANVIER</vt:lpstr>
      <vt:lpstr>'2023'!JANVIER</vt:lpstr>
      <vt:lpstr>'2024'!JANVIER</vt:lpstr>
      <vt:lpstr>'2025'!JANVIER</vt:lpstr>
      <vt:lpstr>'2022'!JUILLET</vt:lpstr>
      <vt:lpstr>'2023'!JUILLET</vt:lpstr>
      <vt:lpstr>'2024'!JUILLET</vt:lpstr>
      <vt:lpstr>'2025'!JUILLET</vt:lpstr>
      <vt:lpstr>'2022'!JUIN</vt:lpstr>
      <vt:lpstr>'2023'!JUIN</vt:lpstr>
      <vt:lpstr>'2024'!JUIN</vt:lpstr>
      <vt:lpstr>'2025'!JUIN</vt:lpstr>
      <vt:lpstr>'2022'!MAI</vt:lpstr>
      <vt:lpstr>'2023'!MAI</vt:lpstr>
      <vt:lpstr>'2024'!MAI</vt:lpstr>
      <vt:lpstr>'2025'!MAI</vt:lpstr>
      <vt:lpstr>'2022'!MARS</vt:lpstr>
      <vt:lpstr>'2023'!MARS</vt:lpstr>
      <vt:lpstr>'2024'!MARS</vt:lpstr>
      <vt:lpstr>'2025'!MARS</vt:lpstr>
      <vt:lpstr>'2022'!MOIS</vt:lpstr>
      <vt:lpstr>'2023'!MOIS</vt:lpstr>
      <vt:lpstr>'2024'!MOIS</vt:lpstr>
      <vt:lpstr>'2025'!MOIS</vt:lpstr>
      <vt:lpstr>'2022'!NOVEMBRE</vt:lpstr>
      <vt:lpstr>'2023'!NOVEMBRE</vt:lpstr>
      <vt:lpstr>'2024'!NOVEMBRE</vt:lpstr>
      <vt:lpstr>'2025'!NOVEMBRE</vt:lpstr>
      <vt:lpstr>'2022'!OCTOBRE</vt:lpstr>
      <vt:lpstr>'2023'!OCTOBRE</vt:lpstr>
      <vt:lpstr>'2024'!OCTOBRE</vt:lpstr>
      <vt:lpstr>'2025'!OCTOBRE</vt:lpstr>
      <vt:lpstr>'2022'!REPAS</vt:lpstr>
      <vt:lpstr>'2023'!REPAS</vt:lpstr>
      <vt:lpstr>'2024'!REPAS</vt:lpstr>
      <vt:lpstr>'2025'!REPAS</vt:lpstr>
      <vt:lpstr>'2022'!REPAS_ACQUIS</vt:lpstr>
      <vt:lpstr>'2023'!REPAS_ACQUIS</vt:lpstr>
      <vt:lpstr>'2024'!REPAS_ACQUIS</vt:lpstr>
      <vt:lpstr>'2025'!REPAS_ACQUIS</vt:lpstr>
      <vt:lpstr>'2022'!REPAS_PRIS</vt:lpstr>
      <vt:lpstr>'2023'!REPAS_PRIS</vt:lpstr>
      <vt:lpstr>'2024'!REPAS_PRIS</vt:lpstr>
      <vt:lpstr>'2025'!REPAS_PRIS</vt:lpstr>
      <vt:lpstr>'2022'!REPAS_SOLDE</vt:lpstr>
      <vt:lpstr>'2023'!REPAS_SOLDE</vt:lpstr>
      <vt:lpstr>'2024'!REPAS_SOLDE</vt:lpstr>
      <vt:lpstr>'2025'!REPAS_SOLDE</vt:lpstr>
      <vt:lpstr>'2022'!SEPTEMBRE</vt:lpstr>
      <vt:lpstr>'2023'!SEPTEMBRE</vt:lpstr>
      <vt:lpstr>'2024'!SEPTEMBRE</vt:lpstr>
      <vt:lpstr>'2025'!SEPTEMBRE</vt:lpstr>
      <vt:lpstr>'2022'!SOLDE</vt:lpstr>
      <vt:lpstr>'2023'!SOLDE</vt:lpstr>
      <vt:lpstr>'2024'!SOLDE</vt:lpstr>
      <vt:lpstr>'2025'!SOLDE</vt:lpstr>
      <vt:lpstr>'2022'!SORTIES</vt:lpstr>
      <vt:lpstr>'2023'!SORTIES</vt:lpstr>
      <vt:lpstr>'2024'!SORTIES</vt:lpstr>
      <vt:lpstr>'2025'!SORTIES</vt:lpstr>
      <vt:lpstr>'2022'!SORTIES_CHARGES_SOCIALES_PATRONALES</vt:lpstr>
      <vt:lpstr>'2023'!SORTIES_CHARGES_SOCIALES_PATRONALES</vt:lpstr>
      <vt:lpstr>'2024'!SORTIES_CHARGES_SOCIALES_PATRONALES</vt:lpstr>
      <vt:lpstr>'2025'!SORTIES_CHARGES_SOCIALES_PATRONALES</vt:lpstr>
      <vt:lpstr>'2022'!SORTIES_SALAIRE_NET</vt:lpstr>
      <vt:lpstr>'2023'!SORTIES_SALAIRE_NET</vt:lpstr>
      <vt:lpstr>'2024'!SORTIES_SALAIRE_NET</vt:lpstr>
      <vt:lpstr>'2025'!SORTIES_SALAIRE_NET</vt:lpstr>
      <vt:lpstr>'2022'!TOTAL</vt:lpstr>
      <vt:lpstr>'2023'!TOTAL</vt:lpstr>
      <vt:lpstr>'2024'!TOTAL</vt:lpstr>
      <vt:lpstr>'2025'!TOTAL</vt:lpstr>
      <vt:lpstr>'2022'!TOTAL_ENTREES</vt:lpstr>
      <vt:lpstr>'2023'!TOTAL_ENTREES</vt:lpstr>
      <vt:lpstr>'2024'!TOTAL_ENTREES</vt:lpstr>
      <vt:lpstr>'2025'!TOTAL_ENTREES</vt:lpstr>
      <vt:lpstr>'2022'!TOTAL_SORTIES</vt:lpstr>
      <vt:lpstr>'2023'!TOTAL_SORTIES</vt:lpstr>
      <vt:lpstr>'2024'!TOTAL_SORTIES</vt:lpstr>
      <vt:lpstr>'2025'!TOTAL_SORTIES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Auteur</dc:creator>
  <cp:lastModifiedBy>Olfa TRIGUI</cp:lastModifiedBy>
  <cp:lastPrinted>2017-08-08T16:51:32Z</cp:lastPrinted>
  <dcterms:created xsi:type="dcterms:W3CDTF">2015-02-05T07:57:27Z</dcterms:created>
  <dcterms:modified xsi:type="dcterms:W3CDTF">2025-04-08T00:04:18Z</dcterms:modified>
</cp:coreProperties>
</file>