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688D89A5-5441-4FED-904A-49D15D0F78B7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'2023'!$B$15</definedName>
    <definedName name="CRA_ASTREINTE" localSheetId="1">'2024'!$B$15</definedName>
    <definedName name="CRA_ASTREINTE" localSheetId="2">'2025'!$B$15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'2023'!$B$17</definedName>
    <definedName name="ENTREES" localSheetId="1">'2024'!$B$17</definedName>
    <definedName name="ENTREES" localSheetId="2">'2025'!$B$17</definedName>
    <definedName name="ENTREES">#REF!</definedName>
    <definedName name="ENTREES_ASTREINTE" localSheetId="0">'2023'!$B$19</definedName>
    <definedName name="ENTREES_ASTREINTE" localSheetId="1">'2024'!$B$19</definedName>
    <definedName name="ENTREES_ASTREINTE" localSheetId="2">'2025'!$B$19</definedName>
    <definedName name="ENTREES_ASTREINTE">#REF!</definedName>
    <definedName name="ENTREES_FACTURE" localSheetId="0">'2023'!$B$18</definedName>
    <definedName name="ENTREES_FACTURE" localSheetId="1">'2024'!$B$18</definedName>
    <definedName name="ENTREES_FACTURE" localSheetId="2">'2025'!$B$18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'2023'!$B$32</definedName>
    <definedName name="FRAIS_KM" localSheetId="1">'2024'!$B$32</definedName>
    <definedName name="FRAIS_KM" localSheetId="2">'2025'!$B$32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'2023'!$B$31</definedName>
    <definedName name="NOMBRE_KM" localSheetId="1">'2024'!$B$31</definedName>
    <definedName name="NOMBRE_KM" localSheetId="2">'2025'!$B$31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'2023'!$B$29</definedName>
    <definedName name="SOLDE" localSheetId="1">'2024'!$B$29</definedName>
    <definedName name="SOLDE" localSheetId="2">'2025'!$B$29</definedName>
    <definedName name="SORTIES" localSheetId="0">'2023'!$B$22</definedName>
    <definedName name="SORTIES" localSheetId="1">'2024'!$B$22</definedName>
    <definedName name="SORTIES" localSheetId="2">'2025'!$B$22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'2023'!$B$24</definedName>
    <definedName name="SORTIES_CHARGES_SOCIALES_PATRONALES" localSheetId="1">'2024'!$B$24</definedName>
    <definedName name="SORTIES_CHARGES_SOCIALES_PATRONALES" localSheetId="2">'2025'!$B$24</definedName>
    <definedName name="SORTIES_CHARGES_SOCIALES_PATRONALES">#REF!</definedName>
    <definedName name="SORTIES_FRAIS_KM" localSheetId="0">'2023'!$B$25</definedName>
    <definedName name="SORTIES_FRAIS_KM" localSheetId="1">'2024'!$B$25</definedName>
    <definedName name="SORTIES_FRAIS_KM" localSheetId="2">'2025'!$B$25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'2023'!$B$23</definedName>
    <definedName name="SORTIES_SALAIRE_NET" localSheetId="1">'2024'!$B$23</definedName>
    <definedName name="SORTIES_SALAIRE_NET" localSheetId="2">'2025'!$B$23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'2023'!$B$20</definedName>
    <definedName name="TOTAL_ENTREES" localSheetId="1">'2024'!$B$20</definedName>
    <definedName name="TOTAL_ENTREES" localSheetId="2">'2025'!$B$20</definedName>
    <definedName name="TOTAL_ENTREES">#REF!</definedName>
    <definedName name="TOTAL_SORTIES" localSheetId="0">'2023'!$B$27</definedName>
    <definedName name="TOTAL_SORTIES" localSheetId="1">'2024'!$B$27</definedName>
    <definedName name="TOTAL_SORTIES" localSheetId="2">'2025'!$B$27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D24" i="16"/>
  <c r="D18" i="16"/>
  <c r="D20" i="16" s="1"/>
  <c r="C4" i="13"/>
  <c r="P32" i="16"/>
  <c r="P31" i="16"/>
  <c r="P34" i="16" s="1"/>
  <c r="M27" i="16"/>
  <c r="G27" i="16"/>
  <c r="E27" i="16"/>
  <c r="P26" i="16"/>
  <c r="P25" i="16"/>
  <c r="N27" i="16"/>
  <c r="L27" i="16"/>
  <c r="K27" i="16"/>
  <c r="J27" i="16"/>
  <c r="I27" i="16"/>
  <c r="H27" i="16"/>
  <c r="F27" i="16"/>
  <c r="D27" i="16"/>
  <c r="P23" i="16"/>
  <c r="P19" i="16"/>
  <c r="N20" i="16"/>
  <c r="M20" i="16"/>
  <c r="L20" i="16"/>
  <c r="K20" i="16"/>
  <c r="J20" i="16"/>
  <c r="J29" i="16" s="1"/>
  <c r="I20" i="16"/>
  <c r="I29" i="16" s="1"/>
  <c r="H20" i="16"/>
  <c r="G20" i="16"/>
  <c r="G29" i="16" s="1"/>
  <c r="F20" i="16"/>
  <c r="E20" i="16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2" i="15"/>
  <c r="P31" i="15"/>
  <c r="P34" i="15" s="1"/>
  <c r="C27" i="15"/>
  <c r="P26" i="15"/>
  <c r="P25" i="15"/>
  <c r="N24" i="15"/>
  <c r="N27" i="15" s="1"/>
  <c r="N29" i="15" s="1"/>
  <c r="M24" i="15"/>
  <c r="M27" i="15" s="1"/>
  <c r="L24" i="15"/>
  <c r="L27" i="15" s="1"/>
  <c r="K24" i="15"/>
  <c r="K27" i="15" s="1"/>
  <c r="J24" i="15"/>
  <c r="J27" i="15" s="1"/>
  <c r="I24" i="15"/>
  <c r="I27" i="15" s="1"/>
  <c r="H24" i="15"/>
  <c r="H27" i="15" s="1"/>
  <c r="G24" i="15"/>
  <c r="G27" i="15" s="1"/>
  <c r="F24" i="15"/>
  <c r="F27" i="15" s="1"/>
  <c r="E24" i="15"/>
  <c r="E27" i="15" s="1"/>
  <c r="D24" i="15"/>
  <c r="D27" i="15" s="1"/>
  <c r="C24" i="15"/>
  <c r="P23" i="15"/>
  <c r="M20" i="15"/>
  <c r="M29" i="15" s="1"/>
  <c r="K20" i="15"/>
  <c r="J20" i="15"/>
  <c r="J29" i="15" s="1"/>
  <c r="P19" i="15"/>
  <c r="N18" i="15"/>
  <c r="N20" i="15" s="1"/>
  <c r="M18" i="15"/>
  <c r="L18" i="15"/>
  <c r="L20" i="15" s="1"/>
  <c r="L29" i="15" s="1"/>
  <c r="K18" i="15"/>
  <c r="J18" i="15"/>
  <c r="I18" i="15"/>
  <c r="I20" i="15" s="1"/>
  <c r="H18" i="15"/>
  <c r="H20" i="15" s="1"/>
  <c r="G18" i="15"/>
  <c r="G20" i="15" s="1"/>
  <c r="F18" i="15"/>
  <c r="F20" i="15" s="1"/>
  <c r="E18" i="15"/>
  <c r="E20" i="15" s="1"/>
  <c r="E29" i="15" s="1"/>
  <c r="D18" i="15"/>
  <c r="D20" i="15" s="1"/>
  <c r="D29" i="15" s="1"/>
  <c r="C18" i="15"/>
  <c r="C20" i="15" s="1"/>
  <c r="P15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2" i="14"/>
  <c r="P31" i="14"/>
  <c r="P34" i="14" s="1"/>
  <c r="M27" i="14"/>
  <c r="K27" i="14"/>
  <c r="C27" i="14"/>
  <c r="P26" i="14"/>
  <c r="P25" i="14"/>
  <c r="N24" i="14"/>
  <c r="N27" i="14" s="1"/>
  <c r="M24" i="14"/>
  <c r="L24" i="14"/>
  <c r="L27" i="14" s="1"/>
  <c r="K24" i="14"/>
  <c r="J24" i="14"/>
  <c r="J27" i="14" s="1"/>
  <c r="I24" i="14"/>
  <c r="I27" i="14" s="1"/>
  <c r="H24" i="14"/>
  <c r="H27" i="14" s="1"/>
  <c r="G24" i="14"/>
  <c r="G27" i="14" s="1"/>
  <c r="F24" i="14"/>
  <c r="F27" i="14" s="1"/>
  <c r="E24" i="14"/>
  <c r="E27" i="14" s="1"/>
  <c r="D24" i="14"/>
  <c r="D27" i="14" s="1"/>
  <c r="C24" i="14"/>
  <c r="P23" i="14"/>
  <c r="M20" i="14"/>
  <c r="G20" i="14"/>
  <c r="G29" i="14" s="1"/>
  <c r="E20" i="14"/>
  <c r="P19" i="14"/>
  <c r="N18" i="14"/>
  <c r="N20" i="14" s="1"/>
  <c r="M18" i="14"/>
  <c r="L18" i="14"/>
  <c r="L20" i="14" s="1"/>
  <c r="L29" i="14" s="1"/>
  <c r="K18" i="14"/>
  <c r="K20" i="14" s="1"/>
  <c r="J18" i="14"/>
  <c r="J20" i="14" s="1"/>
  <c r="J29" i="14" s="1"/>
  <c r="I18" i="14"/>
  <c r="I20" i="14" s="1"/>
  <c r="I29" i="14" s="1"/>
  <c r="H18" i="14"/>
  <c r="H20" i="14" s="1"/>
  <c r="H29" i="14" s="1"/>
  <c r="G18" i="14"/>
  <c r="F18" i="14"/>
  <c r="F20" i="14" s="1"/>
  <c r="E18" i="14"/>
  <c r="D18" i="14"/>
  <c r="D20" i="14" s="1"/>
  <c r="D29" i="14" s="1"/>
  <c r="C18" i="14"/>
  <c r="C20" i="14" s="1"/>
  <c r="P15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K29" i="14" l="1"/>
  <c r="P35" i="14"/>
  <c r="F29" i="15"/>
  <c r="P8" i="16"/>
  <c r="K29" i="15"/>
  <c r="E29" i="16"/>
  <c r="P8" i="14"/>
  <c r="M29" i="14"/>
  <c r="F29" i="14"/>
  <c r="N29" i="14"/>
  <c r="I29" i="15"/>
  <c r="P35" i="15"/>
  <c r="P27" i="14"/>
  <c r="P24" i="15"/>
  <c r="P8" i="15"/>
  <c r="P35" i="16"/>
  <c r="E29" i="14"/>
  <c r="P18" i="15"/>
  <c r="M29" i="16"/>
  <c r="H29" i="16"/>
  <c r="D29" i="16"/>
  <c r="K29" i="16"/>
  <c r="L29" i="16"/>
  <c r="F29" i="16"/>
  <c r="N29" i="16"/>
  <c r="P27" i="15"/>
  <c r="G29" i="15"/>
  <c r="C29" i="14"/>
  <c r="P20" i="14"/>
  <c r="P20" i="15"/>
  <c r="H29" i="15"/>
  <c r="P24" i="14"/>
  <c r="P18" i="14"/>
  <c r="C29" i="15"/>
  <c r="P29" i="14" l="1"/>
  <c r="P29" i="15"/>
  <c r="C24" i="16"/>
  <c r="C18" i="16"/>
  <c r="C20" i="16" l="1"/>
  <c r="P18" i="16"/>
  <c r="P24" i="16"/>
  <c r="C27" i="16"/>
  <c r="P27" i="16" s="1"/>
  <c r="P20" i="16" l="1"/>
  <c r="C29" i="16"/>
  <c r="P29" i="16" s="1"/>
  <c r="C3" i="13" s="1"/>
</calcChain>
</file>

<file path=xl/sharedStrings.xml><?xml version="1.0" encoding="utf-8"?>
<sst xmlns="http://schemas.openxmlformats.org/spreadsheetml/2006/main" count="130" uniqueCount="49">
  <si>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</si>
  <si>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</si>
  <si>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</si>
  <si>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</si>
  <si>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</si>
  <si>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</si>
  <si>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</si>
  <si>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</si>
  <si>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</si>
  <si>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</si>
  <si>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</si>
  <si>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</si>
  <si>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</si>
  <si>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</si>
  <si>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</si>
  <si>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</si>
  <si>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</si>
  <si>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</si>
  <si>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</si>
  <si>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</si>
  <si>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</si>
  <si>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</si>
  <si>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</si>
  <si>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</si>
  <si>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</si>
  <si>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</si>
  <si>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</si>
  <si>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</si>
  <si>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</si>
  <si>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</si>
  <si>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</si>
  <si>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</si>
  <si>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</si>
  <si>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</si>
  <si>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</si>
  <si>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</si>
  <si>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</si>
  <si>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</si>
  <si>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</si>
  <si>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</si>
  <si>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</si>
  <si>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</si>
  <si>
    <t>Exception</t>
  </si>
  <si>
    <t>Achat HT</t>
  </si>
  <si>
    <t>Frais KM annuel à payer</t>
  </si>
  <si>
    <t>Régularisation Frais KM</t>
  </si>
  <si>
    <t>TJM (Janvier 2024)</t>
  </si>
  <si>
    <t>TJM (Janvier 2025)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</si>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</sst>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0" fillId="0" borderId="12" xfId="0" applyBorder="1" applyProtection="1">
      <protection locked="0"/>
    </xf>
    <xf numFmtId="0" fontId="0" fillId="0" borderId="12" xfId="0" applyBorder="1"/>
    <xf numFmtId="0" fontId="1" fillId="9" borderId="0" xfId="0" applyFont="1" applyFill="1" applyAlignment="1">
      <alignment vertical="center"/>
    </xf>
    <xf numFmtId="0" fontId="1" fillId="9" borderId="2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5"/>
  <sheetViews>
    <sheetView topLeftCell="A3" workbookViewId="0">
      <selection activeCell="H35" sqref="H35"/>
    </sheetView>
  </sheetViews>
  <sheetFormatPr baseColWidth="10" defaultRowHeight="14.4" x14ac:dyDescent="0.3"/>
  <cols>
    <col min="1" max="1" width="3" customWidth="1"/>
    <col min="2" max="2" width="28" customWidth="1"/>
    <col min="14" max="14" width="20.33203125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12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9</v>
      </c>
      <c r="O6" s="36"/>
      <c r="P6" s="58">
        <f>SUM(C6:N6)</f>
        <v>211</v>
      </c>
    </row>
    <row r="7" spans="2:16" x14ac:dyDescent="0.3">
      <c r="B7" s="9" t="s">
        <v>21</v>
      </c>
      <c r="C7" s="37">
        <v>12</v>
      </c>
      <c r="D7" s="37">
        <v>19</v>
      </c>
      <c r="E7" s="37">
        <v>23</v>
      </c>
      <c r="F7" s="37">
        <v>18</v>
      </c>
      <c r="G7" s="37">
        <v>15</v>
      </c>
      <c r="H7" s="37">
        <v>21</v>
      </c>
      <c r="I7" s="37">
        <v>17</v>
      </c>
      <c r="J7" s="37">
        <v>9</v>
      </c>
      <c r="K7" s="37">
        <v>21</v>
      </c>
      <c r="L7" s="37">
        <v>22</v>
      </c>
      <c r="M7" s="37">
        <v>14</v>
      </c>
      <c r="N7" s="37">
        <v>20</v>
      </c>
      <c r="O7" s="36"/>
      <c r="P7" s="58">
        <f>SUM(C7:N7)</f>
        <v>211</v>
      </c>
    </row>
    <row r="8" spans="2:16" x14ac:dyDescent="0.3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4</v>
      </c>
      <c r="F8" s="64">
        <f t="shared" si="0"/>
        <v>-1</v>
      </c>
      <c r="G8" s="64">
        <f t="shared" si="0"/>
        <v>-4</v>
      </c>
      <c r="H8" s="64">
        <f t="shared" si="0"/>
        <v>2</v>
      </c>
      <c r="I8" s="64">
        <f t="shared" si="0"/>
        <v>-2</v>
      </c>
      <c r="J8" s="64">
        <f t="shared" si="0"/>
        <v>-10</v>
      </c>
      <c r="K8" s="64">
        <f t="shared" si="0"/>
        <v>2</v>
      </c>
      <c r="L8" s="64">
        <f t="shared" si="0"/>
        <v>3</v>
      </c>
      <c r="M8" s="64">
        <f t="shared" si="0"/>
        <v>-5</v>
      </c>
      <c r="N8" s="64">
        <f t="shared" si="0"/>
        <v>11</v>
      </c>
      <c r="O8" s="36"/>
      <c r="P8" s="58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12</v>
      </c>
      <c r="D11" s="11">
        <v>19</v>
      </c>
      <c r="E11" s="11">
        <v>23</v>
      </c>
      <c r="F11" s="11">
        <v>18</v>
      </c>
      <c r="G11" s="11">
        <v>15</v>
      </c>
      <c r="H11" s="11">
        <v>21</v>
      </c>
      <c r="I11" s="11">
        <v>17</v>
      </c>
      <c r="J11" s="11">
        <v>9</v>
      </c>
      <c r="K11" s="11">
        <v>21</v>
      </c>
      <c r="L11" s="11">
        <v>22</v>
      </c>
      <c r="M11" s="11">
        <v>14</v>
      </c>
      <c r="N11" s="11">
        <v>20</v>
      </c>
      <c r="P11" s="59">
        <f>SUM(C11:N11)</f>
        <v>211</v>
      </c>
    </row>
    <row r="12" spans="2:16" x14ac:dyDescent="0.3">
      <c r="B12" s="9" t="s">
        <v>16</v>
      </c>
      <c r="C12" s="12"/>
      <c r="D12" s="12">
        <v>1</v>
      </c>
      <c r="E12" s="12"/>
      <c r="F12" s="12">
        <v>1</v>
      </c>
      <c r="G12" s="12">
        <v>4</v>
      </c>
      <c r="H12" s="12">
        <v>1</v>
      </c>
      <c r="I12" s="12">
        <v>3</v>
      </c>
      <c r="J12" s="12">
        <v>13</v>
      </c>
      <c r="K12" s="12"/>
      <c r="L12" s="12"/>
      <c r="M12" s="12">
        <v>0</v>
      </c>
      <c r="N12" s="12"/>
      <c r="P12" s="59">
        <f>SUM(C12:N12)</f>
        <v>23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>
        <v>5</v>
      </c>
      <c r="N13" s="12"/>
      <c r="P13" s="59">
        <f>SUM(C13:N13)</f>
        <v>5</v>
      </c>
    </row>
    <row r="14" spans="2:16" x14ac:dyDescent="0.3">
      <c r="B14" s="65" t="s">
        <v>42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>
        <v>2</v>
      </c>
      <c r="N14" s="66"/>
      <c r="P14" s="59">
        <f>SUM(C14:N14)</f>
        <v>2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9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">
      <c r="B18" s="9" t="s">
        <v>6</v>
      </c>
      <c r="C18" s="10">
        <f>C11*Params!$C$5*(1-Params!$C$3)-Params!$C$4</f>
        <v>5003.4000000000005</v>
      </c>
      <c r="D18" s="10">
        <f>D11*Params!$C$5*(1-Params!$C$3)-Params!$C$4</f>
        <v>7965.8</v>
      </c>
      <c r="E18" s="10">
        <f>E11*Params!$C$5*(1-Params!$C$3)-Params!$C$4</f>
        <v>9658.6</v>
      </c>
      <c r="F18" s="10">
        <f>F11*Params!$C$5*(1-Params!$C$3)-Params!$C$4</f>
        <v>7542.6</v>
      </c>
      <c r="G18" s="10">
        <f>G11*Params!$C$5*(1-Params!$C$3)-Params!$C$4</f>
        <v>6273</v>
      </c>
      <c r="H18" s="10">
        <f>H11*Params!$C$5*(1-Params!$C$3)-Params!$C$4</f>
        <v>8812.2000000000007</v>
      </c>
      <c r="I18" s="10">
        <f>I11*Params!$C$5*(1-Params!$C$3)-Params!$C$4</f>
        <v>7119.4000000000005</v>
      </c>
      <c r="J18" s="10">
        <f>J11*Params!$C$5*(1-Params!$C$3)-Params!$C$4</f>
        <v>3733.8</v>
      </c>
      <c r="K18" s="10">
        <f>K11*Params!$C$5*(1-Params!$C$3)-Params!$C$4</f>
        <v>8812.2000000000007</v>
      </c>
      <c r="L18" s="10">
        <f>L11*Params!$C$5*(1-Params!$C$3)-Params!$C$4</f>
        <v>9235.4</v>
      </c>
      <c r="M18" s="10">
        <f>M11*Params!$C$5*(1-Params!$C$3)-Params!$C$4</f>
        <v>5849.8</v>
      </c>
      <c r="N18" s="10">
        <f>N11*Params!$C$5*(1-Params!$C$3)-Params!$C$4</f>
        <v>8389</v>
      </c>
      <c r="O18" s="4"/>
      <c r="P18" s="41">
        <f>SUM(C18:N18)</f>
        <v>88395.200000000012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">
      <c r="B20" s="27" t="s">
        <v>2</v>
      </c>
      <c r="C20" s="28">
        <f t="shared" ref="C20:N20" si="1">SUM(C18:C19)</f>
        <v>5003.4000000000005</v>
      </c>
      <c r="D20" s="28">
        <f t="shared" si="1"/>
        <v>7965.8</v>
      </c>
      <c r="E20" s="28">
        <f t="shared" si="1"/>
        <v>9658.6</v>
      </c>
      <c r="F20" s="28">
        <f t="shared" si="1"/>
        <v>7542.6</v>
      </c>
      <c r="G20" s="28">
        <f t="shared" si="1"/>
        <v>6273</v>
      </c>
      <c r="H20" s="28">
        <f t="shared" si="1"/>
        <v>8812.2000000000007</v>
      </c>
      <c r="I20" s="28">
        <f t="shared" si="1"/>
        <v>7119.4000000000005</v>
      </c>
      <c r="J20" s="28">
        <f t="shared" si="1"/>
        <v>3733.8</v>
      </c>
      <c r="K20" s="28">
        <f t="shared" si="1"/>
        <v>8812.2000000000007</v>
      </c>
      <c r="L20" s="28">
        <f t="shared" si="1"/>
        <v>9235.4</v>
      </c>
      <c r="M20" s="28">
        <f t="shared" si="1"/>
        <v>5849.8</v>
      </c>
      <c r="N20" s="28">
        <f t="shared" si="1"/>
        <v>8389</v>
      </c>
      <c r="O20" s="5"/>
      <c r="P20" s="42">
        <f>SUM(C20:N20)</f>
        <v>88395.200000000012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2740.21</v>
      </c>
      <c r="D23" s="10">
        <v>4946.2700000000004</v>
      </c>
      <c r="E23" s="10">
        <v>4946.2700000000004</v>
      </c>
      <c r="F23" s="10">
        <v>4946.2700000000004</v>
      </c>
      <c r="G23" s="10">
        <v>4946.2700000000004</v>
      </c>
      <c r="H23" s="10">
        <v>4946.2700000000004</v>
      </c>
      <c r="I23" s="10">
        <v>4946.2700000000004</v>
      </c>
      <c r="J23" s="10">
        <v>4946.2700000000004</v>
      </c>
      <c r="K23" s="10">
        <v>4946.2700000000004</v>
      </c>
      <c r="L23" s="10">
        <v>4946.2700000000004</v>
      </c>
      <c r="M23" s="10">
        <v>3478.03</v>
      </c>
      <c r="N23" s="10">
        <v>4839.8</v>
      </c>
      <c r="O23" s="4"/>
      <c r="P23" s="43">
        <f>SUM(C23:N23)</f>
        <v>55574.470000000016</v>
      </c>
    </row>
    <row r="24" spans="2:16" x14ac:dyDescent="0.3">
      <c r="B24" s="9" t="s">
        <v>8</v>
      </c>
      <c r="C24" s="10">
        <f>588.39+981.53</f>
        <v>1569.92</v>
      </c>
      <c r="D24" s="10">
        <f>1026.86+1732.04</f>
        <v>2758.8999999999996</v>
      </c>
      <c r="E24" s="10">
        <f>1026.86+1734.68</f>
        <v>2761.54</v>
      </c>
      <c r="F24" s="10">
        <f>1026.86+1732.04</f>
        <v>2758.8999999999996</v>
      </c>
      <c r="G24" s="10">
        <f>1026.86+1737.17</f>
        <v>2764.0299999999997</v>
      </c>
      <c r="H24" s="10">
        <f>1026.86+1743.82</f>
        <v>2770.68</v>
      </c>
      <c r="I24" s="10">
        <f>1026.86+1735.93</f>
        <v>2762.79</v>
      </c>
      <c r="J24" s="10">
        <f>1026.86+1741.18</f>
        <v>2768.04</v>
      </c>
      <c r="K24" s="10">
        <f>1026.86+1767.49</f>
        <v>2794.35</v>
      </c>
      <c r="L24" s="10">
        <f>1026.86+1733.29</f>
        <v>2760.1499999999996</v>
      </c>
      <c r="M24" s="10">
        <f>732.24+1233.58</f>
        <v>1965.82</v>
      </c>
      <c r="N24" s="10">
        <f>1014.53+1698.77</f>
        <v>2713.3</v>
      </c>
      <c r="O24" s="4"/>
      <c r="P24" s="43">
        <f>SUM(C24:N24)</f>
        <v>31148.419999999995</v>
      </c>
    </row>
    <row r="25" spans="2:16" x14ac:dyDescent="0.3">
      <c r="B25" s="55" t="s">
        <v>40</v>
      </c>
      <c r="C25" s="56">
        <v>193.56399999999999</v>
      </c>
      <c r="D25" s="56">
        <v>248.143</v>
      </c>
      <c r="E25" s="56">
        <v>279.33100000000002</v>
      </c>
      <c r="F25" s="56">
        <v>247.798</v>
      </c>
      <c r="G25" s="56">
        <v>217.3</v>
      </c>
      <c r="H25" s="56">
        <v>264.22000000000003</v>
      </c>
      <c r="I25" s="56">
        <v>154.53</v>
      </c>
      <c r="J25" s="56">
        <v>81.81</v>
      </c>
      <c r="K25" s="56">
        <v>190.89</v>
      </c>
      <c r="L25" s="56">
        <v>199.98</v>
      </c>
      <c r="M25" s="56">
        <v>127.26</v>
      </c>
      <c r="N25" s="56">
        <v>236.75</v>
      </c>
      <c r="O25" s="4"/>
      <c r="P25" s="43">
        <f>SUM(C25:N25)</f>
        <v>2441.576</v>
      </c>
    </row>
    <row r="26" spans="2:16" x14ac:dyDescent="0.3">
      <c r="B26" s="9" t="s">
        <v>43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>
        <v>999.17</v>
      </c>
      <c r="O26" s="4"/>
      <c r="P26" s="43">
        <f>SUM(C26:N26)</f>
        <v>999.17</v>
      </c>
    </row>
    <row r="27" spans="2:16" x14ac:dyDescent="0.3">
      <c r="B27" s="8" t="s">
        <v>3</v>
      </c>
      <c r="C27" s="44">
        <f t="shared" ref="C27:L27" si="2">SUM(C23:C25)</f>
        <v>4503.6940000000004</v>
      </c>
      <c r="D27" s="44">
        <f t="shared" si="2"/>
        <v>7953.3130000000001</v>
      </c>
      <c r="E27" s="44">
        <f t="shared" si="2"/>
        <v>7987.1410000000005</v>
      </c>
      <c r="F27" s="44">
        <f t="shared" si="2"/>
        <v>7952.9679999999998</v>
      </c>
      <c r="G27" s="44">
        <f t="shared" si="2"/>
        <v>7927.6</v>
      </c>
      <c r="H27" s="44">
        <f t="shared" si="2"/>
        <v>7981.170000000001</v>
      </c>
      <c r="I27" s="44">
        <f t="shared" si="2"/>
        <v>7863.59</v>
      </c>
      <c r="J27" s="44">
        <f t="shared" si="2"/>
        <v>7796.1200000000008</v>
      </c>
      <c r="K27" s="44">
        <f t="shared" si="2"/>
        <v>7931.5100000000011</v>
      </c>
      <c r="L27" s="44">
        <f t="shared" si="2"/>
        <v>7906.4</v>
      </c>
      <c r="M27" s="44">
        <f>SUM(M23:M26)</f>
        <v>5571.1100000000006</v>
      </c>
      <c r="N27" s="44">
        <f>SUM(N23:N26)</f>
        <v>8789.02</v>
      </c>
      <c r="O27" s="4"/>
      <c r="P27" s="61">
        <f>SUM(C27:N27)</f>
        <v>90163.635999999999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C20-C27</f>
        <v>499.70600000000013</v>
      </c>
      <c r="D29" s="47">
        <f t="shared" si="3"/>
        <v>12.48700000000008</v>
      </c>
      <c r="E29" s="47">
        <f t="shared" si="3"/>
        <v>1671.4589999999998</v>
      </c>
      <c r="F29" s="47">
        <f t="shared" si="3"/>
        <v>-410.36799999999948</v>
      </c>
      <c r="G29" s="47">
        <f t="shared" si="3"/>
        <v>-1654.6000000000004</v>
      </c>
      <c r="H29" s="47">
        <f t="shared" si="3"/>
        <v>831.02999999999975</v>
      </c>
      <c r="I29" s="47">
        <f t="shared" si="3"/>
        <v>-744.1899999999996</v>
      </c>
      <c r="J29" s="47">
        <f t="shared" si="3"/>
        <v>-4062.3200000000006</v>
      </c>
      <c r="K29" s="47">
        <f t="shared" si="3"/>
        <v>880.6899999999996</v>
      </c>
      <c r="L29" s="47">
        <f t="shared" si="3"/>
        <v>1329</v>
      </c>
      <c r="M29" s="47">
        <f t="shared" si="3"/>
        <v>278.6899999999996</v>
      </c>
      <c r="N29" s="47">
        <f t="shared" si="3"/>
        <v>-400.02000000000044</v>
      </c>
      <c r="P29" s="60">
        <f>SUM(C29:N29)</f>
        <v>-1768.4360000000015</v>
      </c>
    </row>
    <row r="31" spans="2:16" x14ac:dyDescent="0.3">
      <c r="B31" s="63" t="s">
        <v>37</v>
      </c>
      <c r="C31" s="54">
        <v>276</v>
      </c>
      <c r="D31" s="54">
        <v>437</v>
      </c>
      <c r="E31" s="54">
        <v>529</v>
      </c>
      <c r="F31" s="54">
        <v>414</v>
      </c>
      <c r="G31" s="54">
        <v>345</v>
      </c>
      <c r="H31" s="54">
        <v>483</v>
      </c>
      <c r="I31" s="54">
        <v>255</v>
      </c>
      <c r="J31" s="54">
        <v>135</v>
      </c>
      <c r="K31" s="54">
        <v>315</v>
      </c>
      <c r="L31" s="54">
        <v>330</v>
      </c>
      <c r="M31" s="54">
        <v>210</v>
      </c>
      <c r="N31" s="54">
        <v>300</v>
      </c>
      <c r="P31" s="62">
        <f>SUM(C31:N31)</f>
        <v>4029</v>
      </c>
    </row>
    <row r="32" spans="2:16" x14ac:dyDescent="0.3">
      <c r="B32" s="63" t="s">
        <v>38</v>
      </c>
      <c r="C32" s="54">
        <v>193.56399999999999</v>
      </c>
      <c r="D32" s="54">
        <v>248.143</v>
      </c>
      <c r="E32" s="54">
        <v>279.33100000000002</v>
      </c>
      <c r="F32" s="54">
        <v>247.798</v>
      </c>
      <c r="G32" s="54">
        <v>217.3</v>
      </c>
      <c r="H32" s="54">
        <v>264.22000000000003</v>
      </c>
      <c r="I32" s="54">
        <v>154.53</v>
      </c>
      <c r="J32" s="54">
        <v>81.81</v>
      </c>
      <c r="K32" s="54">
        <v>190.89</v>
      </c>
      <c r="L32" s="54">
        <v>199.98</v>
      </c>
      <c r="M32" s="54">
        <v>127.26</v>
      </c>
      <c r="N32" s="54">
        <v>181.8</v>
      </c>
      <c r="P32" s="62">
        <f>SUM(C32:N32)</f>
        <v>2386.6260000000002</v>
      </c>
    </row>
    <row r="34" spans="14:16" x14ac:dyDescent="0.3">
      <c r="N34" s="54" t="s">
        <v>44</v>
      </c>
      <c r="P34" s="62">
        <f>P31*0.606</f>
        <v>2441.5740000000001</v>
      </c>
    </row>
    <row r="35" spans="14:16" x14ac:dyDescent="0.3">
      <c r="N35" s="54" t="s">
        <v>45</v>
      </c>
      <c r="P35" s="62">
        <f>P34-P32</f>
        <v>54.947999999999865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ignoredErrors>
    <ignoredError sqref="E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0CF0B-EC63-40EF-AFCE-42CC137124AA}">
  <dimension ref="B1:P35"/>
  <sheetViews>
    <sheetView tabSelected="1" topLeftCell="A3" workbookViewId="0">
      <selection activeCell="M23" sqref="M23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8">
        <f>SUM(C6:N6)</f>
        <v>228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17</v>
      </c>
      <c r="H7" s="37">
        <v>20</v>
      </c>
      <c r="I7" s="37">
        <v>23</v>
      </c>
      <c r="J7" s="37">
        <v>10</v>
      </c>
      <c r="K7" s="37">
        <v>21</v>
      </c>
      <c r="L7" s="37">
        <v>22</v>
      </c>
      <c r="M7" s="37">
        <v>19</v>
      </c>
      <c r="N7" s="37">
        <v>15</v>
      </c>
      <c r="O7" s="36"/>
      <c r="P7" s="58">
        <f>SUM(C7:N7)</f>
        <v>232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2</v>
      </c>
      <c r="E8" s="64">
        <f t="shared" si="0"/>
        <v>2</v>
      </c>
      <c r="F8" s="64">
        <f t="shared" si="0"/>
        <v>2</v>
      </c>
      <c r="G8" s="64">
        <f t="shared" si="0"/>
        <v>-2</v>
      </c>
      <c r="H8" s="64">
        <f t="shared" si="0"/>
        <v>1</v>
      </c>
      <c r="I8" s="64">
        <f t="shared" si="0"/>
        <v>4</v>
      </c>
      <c r="J8" s="64">
        <f t="shared" si="0"/>
        <v>-9</v>
      </c>
      <c r="K8" s="64">
        <f t="shared" si="0"/>
        <v>2</v>
      </c>
      <c r="L8" s="64">
        <f t="shared" si="0"/>
        <v>3</v>
      </c>
      <c r="M8" s="64">
        <f t="shared" si="0"/>
        <v>0</v>
      </c>
      <c r="N8" s="64">
        <f t="shared" si="0"/>
        <v>-4</v>
      </c>
      <c r="O8" s="36"/>
      <c r="P8" s="58">
        <f>SUM(C8:N8)</f>
        <v>4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17</v>
      </c>
      <c r="H11" s="11">
        <v>20</v>
      </c>
      <c r="I11" s="11">
        <v>23</v>
      </c>
      <c r="J11" s="11">
        <v>10</v>
      </c>
      <c r="K11" s="11">
        <v>21</v>
      </c>
      <c r="L11" s="11">
        <v>22</v>
      </c>
      <c r="M11" s="11">
        <v>19</v>
      </c>
      <c r="N11" s="11">
        <v>15</v>
      </c>
      <c r="P11" s="59">
        <f>SUM(C11:N11)</f>
        <v>232</v>
      </c>
    </row>
    <row r="12" spans="2:16" x14ac:dyDescent="0.3">
      <c r="B12" s="9" t="s">
        <v>16</v>
      </c>
      <c r="C12" s="12"/>
      <c r="D12" s="12"/>
      <c r="E12" s="12"/>
      <c r="F12" s="12"/>
      <c r="G12" s="12">
        <v>2</v>
      </c>
      <c r="H12" s="12"/>
      <c r="I12" s="12"/>
      <c r="J12" s="12">
        <v>11</v>
      </c>
      <c r="K12" s="12"/>
      <c r="L12" s="12">
        <v>1</v>
      </c>
      <c r="M12" s="12"/>
      <c r="N12" s="12">
        <v>6</v>
      </c>
      <c r="P12" s="59">
        <f>SUM(C12:N12)</f>
        <v>20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65" t="s">
        <v>42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P14" s="59">
        <f>SUM(C14:N14)</f>
        <v>0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9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">
      <c r="B18" s="9" t="s">
        <v>6</v>
      </c>
      <c r="C18" s="10">
        <f>C11*Params!$C$6*(1-Params!$C$3)-Params!$C$4</f>
        <v>9640.2000000000007</v>
      </c>
      <c r="D18" s="10">
        <f>D11*Params!$C$6*(1-Params!$C$3)-Params!$C$4</f>
        <v>9198.6</v>
      </c>
      <c r="E18" s="10">
        <f>E11*Params!$C$6*(1-Params!$C$3)-Params!$C$4</f>
        <v>9198.6</v>
      </c>
      <c r="F18" s="10">
        <f>F11*Params!$C$6*(1-Params!$C$3)-Params!$C$4</f>
        <v>9198.6</v>
      </c>
      <c r="G18" s="10">
        <f>G11*Params!$C$6*(1-Params!$C$3)-Params!$C$4</f>
        <v>7432.2000000000007</v>
      </c>
      <c r="H18" s="10">
        <f>H11*Params!$C$6*(1-Params!$C$3)-Params!$C$4</f>
        <v>8757</v>
      </c>
      <c r="I18" s="10">
        <f>I11*Params!$C$6*(1-Params!$C$3)-Params!$C$4</f>
        <v>10081.800000000001</v>
      </c>
      <c r="J18" s="10">
        <f>J11*Params!$C$6*(1-Params!$C$3)-Params!$C$4</f>
        <v>4341</v>
      </c>
      <c r="K18" s="10">
        <f>K11*Params!$C$6*(1-Params!$C$3)-Params!$C$4</f>
        <v>9198.6</v>
      </c>
      <c r="L18" s="10">
        <f>L11*Params!$C$6*(1-Params!$C$3)-Params!$C$4</f>
        <v>9640.2000000000007</v>
      </c>
      <c r="M18" s="10">
        <f>M11*Params!$C$6*(1-Params!$C$3)-Params!$C$4</f>
        <v>8315.4</v>
      </c>
      <c r="N18" s="10">
        <f>N11*Params!$C$6*(1-Params!$C$3)-Params!$C$4</f>
        <v>6549</v>
      </c>
      <c r="O18" s="4"/>
      <c r="P18" s="41">
        <f>SUM(C18:N18)</f>
        <v>101551.2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">
      <c r="B20" s="27" t="s">
        <v>2</v>
      </c>
      <c r="C20" s="28">
        <f t="shared" ref="C20:N20" si="1">SUM(C18:C19)</f>
        <v>9640.2000000000007</v>
      </c>
      <c r="D20" s="28">
        <f t="shared" si="1"/>
        <v>9198.6</v>
      </c>
      <c r="E20" s="28">
        <f t="shared" si="1"/>
        <v>9198.6</v>
      </c>
      <c r="F20" s="28">
        <f t="shared" si="1"/>
        <v>9198.6</v>
      </c>
      <c r="G20" s="28">
        <f t="shared" si="1"/>
        <v>7432.2000000000007</v>
      </c>
      <c r="H20" s="28">
        <f t="shared" si="1"/>
        <v>8757</v>
      </c>
      <c r="I20" s="28">
        <f t="shared" si="1"/>
        <v>10081.800000000001</v>
      </c>
      <c r="J20" s="28">
        <f t="shared" si="1"/>
        <v>4341</v>
      </c>
      <c r="K20" s="28">
        <f t="shared" si="1"/>
        <v>9198.6</v>
      </c>
      <c r="L20" s="28">
        <f t="shared" si="1"/>
        <v>9640.2000000000007</v>
      </c>
      <c r="M20" s="28">
        <f t="shared" si="1"/>
        <v>8315.4</v>
      </c>
      <c r="N20" s="28">
        <f t="shared" si="1"/>
        <v>6549</v>
      </c>
      <c r="O20" s="5"/>
      <c r="P20" s="42">
        <f>SUM(C20:N20)</f>
        <v>101551.2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4937.24</v>
      </c>
      <c r="D23" s="10">
        <v>4937.24</v>
      </c>
      <c r="E23" s="10">
        <v>4937.24</v>
      </c>
      <c r="F23" s="10">
        <v>4937.24</v>
      </c>
      <c r="G23" s="10">
        <v>4937.24</v>
      </c>
      <c r="H23" s="10">
        <v>4937.24</v>
      </c>
      <c r="I23" s="10">
        <v>4937.24</v>
      </c>
      <c r="J23" s="10">
        <v>4937.24</v>
      </c>
      <c r="K23" s="10">
        <v>5046.22</v>
      </c>
      <c r="L23" s="10">
        <v>4937.24</v>
      </c>
      <c r="M23" s="10">
        <v>6406.82</v>
      </c>
      <c r="N23" s="10">
        <v>4937.24</v>
      </c>
      <c r="O23" s="4"/>
      <c r="P23" s="43">
        <f>SUM(C23:N23)</f>
        <v>60825.439999999988</v>
      </c>
    </row>
    <row r="24" spans="2:16" x14ac:dyDescent="0.3">
      <c r="B24" s="9" t="s">
        <v>8</v>
      </c>
      <c r="C24" s="10">
        <f>1040.45+1749.67</f>
        <v>2790.12</v>
      </c>
      <c r="D24" s="10">
        <f>1040.45+1749.67</f>
        <v>2790.12</v>
      </c>
      <c r="E24" s="10">
        <f>1040.45+1749.67</f>
        <v>2790.12</v>
      </c>
      <c r="F24" s="10">
        <f>1040.45+1749.67</f>
        <v>2790.12</v>
      </c>
      <c r="G24" s="10">
        <f>1040.45+1772.08</f>
        <v>2812.5299999999997</v>
      </c>
      <c r="H24" s="10">
        <f>1040.45+1777.33</f>
        <v>2817.7799999999997</v>
      </c>
      <c r="I24" s="10">
        <f>1040.45+1774.57</f>
        <v>2815.02</v>
      </c>
      <c r="J24" s="10">
        <f>1040.45+1774.57</f>
        <v>2815.02</v>
      </c>
      <c r="K24" s="10">
        <f>1065.01+1842.94</f>
        <v>2907.95</v>
      </c>
      <c r="L24" s="10">
        <f>1040.45+1774.57</f>
        <v>2815.02</v>
      </c>
      <c r="M24" s="10">
        <f>1370.87+2308.84</f>
        <v>3679.71</v>
      </c>
      <c r="N24" s="10">
        <f>1040.45+1774.57</f>
        <v>2815.02</v>
      </c>
      <c r="O24" s="4"/>
      <c r="P24" s="43">
        <f>SUM(C24:N24)</f>
        <v>34638.53</v>
      </c>
    </row>
    <row r="25" spans="2:16" x14ac:dyDescent="0.3">
      <c r="B25" s="55" t="s">
        <v>40</v>
      </c>
      <c r="C25" s="56">
        <v>272.04000000000002</v>
      </c>
      <c r="D25" s="56">
        <v>264.22000000000003</v>
      </c>
      <c r="E25" s="56">
        <v>264.22000000000003</v>
      </c>
      <c r="F25" s="56">
        <v>264.22000000000003</v>
      </c>
      <c r="G25" s="56">
        <v>232.94</v>
      </c>
      <c r="H25" s="56">
        <v>256.39999999999998</v>
      </c>
      <c r="I25" s="56">
        <v>279.86</v>
      </c>
      <c r="J25" s="56">
        <v>178.2</v>
      </c>
      <c r="K25" s="56">
        <v>264.22000000000003</v>
      </c>
      <c r="L25" s="56">
        <v>272.04000000000002</v>
      </c>
      <c r="M25" s="56">
        <v>248.58</v>
      </c>
      <c r="N25" s="56">
        <v>347.3</v>
      </c>
      <c r="O25" s="4"/>
      <c r="P25" s="43">
        <f>SUM(C25:N25)</f>
        <v>3144.2400000000002</v>
      </c>
    </row>
    <row r="26" spans="2:16" x14ac:dyDescent="0.3">
      <c r="B26" s="9" t="s">
        <v>43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>
        <v>1582.5</v>
      </c>
      <c r="N26" s="10"/>
      <c r="O26" s="4"/>
      <c r="P26" s="43">
        <f>SUM(C26:N26)</f>
        <v>1582.5</v>
      </c>
    </row>
    <row r="27" spans="2:16" x14ac:dyDescent="0.3">
      <c r="B27" s="8" t="s">
        <v>3</v>
      </c>
      <c r="C27" s="44">
        <f t="shared" ref="C27:N27" si="2">SUM(C23:C26)</f>
        <v>7999.4</v>
      </c>
      <c r="D27" s="44">
        <f t="shared" si="2"/>
        <v>7991.58</v>
      </c>
      <c r="E27" s="44">
        <f t="shared" si="2"/>
        <v>7991.58</v>
      </c>
      <c r="F27" s="44">
        <f t="shared" si="2"/>
        <v>7991.58</v>
      </c>
      <c r="G27" s="44">
        <f t="shared" si="2"/>
        <v>7982.7099999999991</v>
      </c>
      <c r="H27" s="44">
        <f t="shared" si="2"/>
        <v>8011.4199999999992</v>
      </c>
      <c r="I27" s="44">
        <f t="shared" si="2"/>
        <v>8032.12</v>
      </c>
      <c r="J27" s="44">
        <f t="shared" si="2"/>
        <v>7930.46</v>
      </c>
      <c r="K27" s="44">
        <f t="shared" si="2"/>
        <v>8218.39</v>
      </c>
      <c r="L27" s="44">
        <f t="shared" si="2"/>
        <v>8024.3</v>
      </c>
      <c r="M27" s="44">
        <f t="shared" si="2"/>
        <v>11917.609999999999</v>
      </c>
      <c r="N27" s="44">
        <f t="shared" si="2"/>
        <v>8099.56</v>
      </c>
      <c r="O27" s="4"/>
      <c r="P27" s="61">
        <f>SUM(C27:N27)</f>
        <v>100190.70999999999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C20-C27</f>
        <v>1640.8000000000011</v>
      </c>
      <c r="D29" s="47">
        <f t="shared" si="3"/>
        <v>1207.0200000000004</v>
      </c>
      <c r="E29" s="47">
        <f t="shared" si="3"/>
        <v>1207.0200000000004</v>
      </c>
      <c r="F29" s="47">
        <f t="shared" si="3"/>
        <v>1207.0200000000004</v>
      </c>
      <c r="G29" s="47">
        <f t="shared" si="3"/>
        <v>-550.5099999999984</v>
      </c>
      <c r="H29" s="47">
        <f t="shared" si="3"/>
        <v>745.58000000000084</v>
      </c>
      <c r="I29" s="47">
        <f t="shared" si="3"/>
        <v>2049.6800000000012</v>
      </c>
      <c r="J29" s="47">
        <f t="shared" si="3"/>
        <v>-3589.46</v>
      </c>
      <c r="K29" s="47">
        <f t="shared" si="3"/>
        <v>980.21000000000095</v>
      </c>
      <c r="L29" s="47">
        <f t="shared" si="3"/>
        <v>1615.9000000000005</v>
      </c>
      <c r="M29" s="47">
        <f t="shared" si="3"/>
        <v>-3602.2099999999991</v>
      </c>
      <c r="N29" s="47">
        <f t="shared" si="3"/>
        <v>-1550.5600000000004</v>
      </c>
      <c r="P29" s="60">
        <f>SUM(C29:N29)</f>
        <v>1360.490000000008</v>
      </c>
    </row>
    <row r="31" spans="2:16" x14ac:dyDescent="0.3">
      <c r="B31" s="63" t="s">
        <v>37</v>
      </c>
      <c r="C31" s="54">
        <v>506</v>
      </c>
      <c r="D31" s="54">
        <v>483</v>
      </c>
      <c r="E31" s="54">
        <v>483</v>
      </c>
      <c r="F31" s="54">
        <v>483</v>
      </c>
      <c r="G31" s="54">
        <v>391</v>
      </c>
      <c r="H31" s="54">
        <v>460</v>
      </c>
      <c r="I31" s="54">
        <v>529</v>
      </c>
      <c r="J31" s="54">
        <v>230</v>
      </c>
      <c r="K31" s="54">
        <v>483</v>
      </c>
      <c r="L31" s="54">
        <v>506</v>
      </c>
      <c r="M31" s="54">
        <v>437</v>
      </c>
      <c r="N31" s="54">
        <v>345</v>
      </c>
      <c r="P31" s="62">
        <f>SUM(C31:N31)</f>
        <v>5336</v>
      </c>
    </row>
    <row r="32" spans="2:16" x14ac:dyDescent="0.3">
      <c r="B32" s="63" t="s">
        <v>38</v>
      </c>
      <c r="C32" s="54">
        <v>272.04000000000002</v>
      </c>
      <c r="D32" s="54">
        <v>264.22000000000003</v>
      </c>
      <c r="E32" s="54">
        <v>264.22000000000003</v>
      </c>
      <c r="F32" s="54">
        <v>264.22000000000003</v>
      </c>
      <c r="G32" s="54">
        <v>232.94</v>
      </c>
      <c r="H32" s="54">
        <v>256.39999999999998</v>
      </c>
      <c r="I32" s="54">
        <v>279.86</v>
      </c>
      <c r="J32" s="54">
        <v>178.2</v>
      </c>
      <c r="K32" s="54">
        <v>264.22000000000003</v>
      </c>
      <c r="L32" s="54">
        <v>272.04000000000002</v>
      </c>
      <c r="M32" s="54">
        <v>248.58</v>
      </c>
      <c r="N32" s="54">
        <v>347.3</v>
      </c>
      <c r="P32" s="62">
        <f>SUM(C32:N32)</f>
        <v>3144.2400000000002</v>
      </c>
    </row>
    <row r="34" spans="14:16" x14ac:dyDescent="0.3">
      <c r="N34" s="54" t="s">
        <v>44</v>
      </c>
      <c r="P34" s="62">
        <f>(P31*0.34) + 1330</f>
        <v>3144.2400000000002</v>
      </c>
    </row>
    <row r="35" spans="14:16" x14ac:dyDescent="0.3">
      <c r="N35" s="54" t="s">
        <v>45</v>
      </c>
      <c r="P35" s="62">
        <f>P34-P32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B3C60-2601-4B56-8250-603FFACF3552}">
  <dimension ref="B1:P35"/>
  <sheetViews>
    <sheetView topLeftCell="A3" workbookViewId="0">
      <selection activeCell="D18" sqref="D18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8">
        <f>SUM(C6:N6)</f>
        <v>38</v>
      </c>
    </row>
    <row r="7" spans="2:16" x14ac:dyDescent="0.3">
      <c r="B7" s="9" t="s">
        <v>21</v>
      </c>
      <c r="C7" s="37">
        <v>16</v>
      </c>
      <c r="D7" s="37">
        <v>19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8">
        <f>SUM(C7:N7)</f>
        <v>35</v>
      </c>
    </row>
    <row r="8" spans="2:16" x14ac:dyDescent="0.3">
      <c r="B8" s="18" t="s">
        <v>22</v>
      </c>
      <c r="C8" s="64">
        <f t="shared" ref="C8:N8" si="0">C7-C6</f>
        <v>-3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-3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16</v>
      </c>
      <c r="D11" s="11">
        <v>19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9">
        <f>SUM(C11:N11)</f>
        <v>35</v>
      </c>
    </row>
    <row r="12" spans="2:16" x14ac:dyDescent="0.3">
      <c r="B12" s="9" t="s">
        <v>16</v>
      </c>
      <c r="C12" s="12">
        <v>6</v>
      </c>
      <c r="D12" s="12">
        <v>1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7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65" t="s">
        <v>42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P14" s="59">
        <f>SUM(C14:N14)</f>
        <v>0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9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">
      <c r="B18" s="9" t="s">
        <v>6</v>
      </c>
      <c r="C18" s="10">
        <f>C11*Params!$C$7*(1-Params!$C$3)-Params!$C$4</f>
        <v>7432.2000000000007</v>
      </c>
      <c r="D18" s="10">
        <f>D11*Params!$C$7*(1-Params!$C$3)-Params!$C$4</f>
        <v>8839.8000000000011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16272.000000000002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">
      <c r="B20" s="27" t="s">
        <v>2</v>
      </c>
      <c r="C20" s="28">
        <f t="shared" ref="C20:N20" si="1">SUM(C18:C19)</f>
        <v>7432.2000000000007</v>
      </c>
      <c r="D20" s="28">
        <f t="shared" si="1"/>
        <v>8839.8000000000011</v>
      </c>
      <c r="E20" s="28">
        <f t="shared" si="1"/>
        <v>0</v>
      </c>
      <c r="F20" s="28">
        <f t="shared" si="1"/>
        <v>0</v>
      </c>
      <c r="G20" s="28">
        <f t="shared" si="1"/>
        <v>0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SUM(C20:N20)</f>
        <v>16272.000000000002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5346.06</v>
      </c>
      <c r="D23" s="10">
        <v>5346.06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10692.12</v>
      </c>
    </row>
    <row r="24" spans="2:16" x14ac:dyDescent="0.3">
      <c r="B24" s="9" t="s">
        <v>8</v>
      </c>
      <c r="C24" s="10">
        <f>1125.19+1939.68</f>
        <v>3064.87</v>
      </c>
      <c r="D24" s="10">
        <f>1125.19+1940.91</f>
        <v>3066.1000000000004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6130.97</v>
      </c>
    </row>
    <row r="25" spans="2:16" x14ac:dyDescent="0.3">
      <c r="B25" s="55" t="s">
        <v>40</v>
      </c>
      <c r="C25" s="56">
        <v>225.12</v>
      </c>
      <c r="D25" s="56">
        <v>293.8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4"/>
      <c r="P25" s="43">
        <f>SUM(C25:N25)</f>
        <v>518.92000000000007</v>
      </c>
    </row>
    <row r="26" spans="2:16" x14ac:dyDescent="0.3">
      <c r="B26" s="9" t="s">
        <v>43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4"/>
      <c r="P26" s="43">
        <f>SUM(C26:N26)</f>
        <v>0</v>
      </c>
    </row>
    <row r="27" spans="2:16" x14ac:dyDescent="0.3">
      <c r="B27" s="8" t="s">
        <v>3</v>
      </c>
      <c r="C27" s="44">
        <f t="shared" ref="C27:N27" si="2">SUM(C23:C26)</f>
        <v>8636.0500000000011</v>
      </c>
      <c r="D27" s="44">
        <f t="shared" si="2"/>
        <v>8705.9599999999991</v>
      </c>
      <c r="E27" s="44">
        <f t="shared" si="2"/>
        <v>0</v>
      </c>
      <c r="F27" s="44">
        <f t="shared" si="2"/>
        <v>0</v>
      </c>
      <c r="G27" s="44">
        <f t="shared" si="2"/>
        <v>0</v>
      </c>
      <c r="H27" s="44">
        <f t="shared" si="2"/>
        <v>0</v>
      </c>
      <c r="I27" s="44">
        <f t="shared" si="2"/>
        <v>0</v>
      </c>
      <c r="J27" s="44">
        <f t="shared" si="2"/>
        <v>0</v>
      </c>
      <c r="K27" s="44">
        <f t="shared" si="2"/>
        <v>0</v>
      </c>
      <c r="L27" s="44">
        <f t="shared" si="2"/>
        <v>0</v>
      </c>
      <c r="M27" s="44">
        <f t="shared" si="2"/>
        <v>0</v>
      </c>
      <c r="N27" s="44">
        <f t="shared" si="2"/>
        <v>0</v>
      </c>
      <c r="O27" s="4"/>
      <c r="P27" s="61">
        <f>SUM(C27:N27)</f>
        <v>17342.010000000002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C20-C27</f>
        <v>-1203.8500000000004</v>
      </c>
      <c r="D29" s="47">
        <f t="shared" si="3"/>
        <v>133.84000000000196</v>
      </c>
      <c r="E29" s="47">
        <f t="shared" si="3"/>
        <v>0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>
        <f t="shared" si="3"/>
        <v>0</v>
      </c>
      <c r="M29" s="47">
        <f t="shared" si="3"/>
        <v>0</v>
      </c>
      <c r="N29" s="47">
        <f t="shared" si="3"/>
        <v>0</v>
      </c>
      <c r="P29" s="60">
        <f>SUM(C29:N29)</f>
        <v>-1070.0099999999984</v>
      </c>
    </row>
    <row r="31" spans="2:16" x14ac:dyDescent="0.3">
      <c r="B31" s="63" t="s">
        <v>37</v>
      </c>
      <c r="C31" s="54">
        <v>368</v>
      </c>
      <c r="D31" s="54">
        <v>570</v>
      </c>
      <c r="E31" s="54"/>
      <c r="F31" s="54"/>
      <c r="G31" s="54"/>
      <c r="H31" s="54"/>
      <c r="I31" s="54"/>
      <c r="J31" s="54"/>
      <c r="K31" s="54"/>
      <c r="L31" s="54"/>
      <c r="M31" s="54"/>
      <c r="N31" s="54"/>
      <c r="P31" s="62">
        <f>SUM(C31:N31)</f>
        <v>938</v>
      </c>
    </row>
    <row r="32" spans="2:16" x14ac:dyDescent="0.3">
      <c r="B32" s="63" t="s">
        <v>38</v>
      </c>
      <c r="C32" s="54">
        <v>225.12</v>
      </c>
      <c r="D32" s="54">
        <v>293.8</v>
      </c>
      <c r="E32" s="54"/>
      <c r="F32" s="54"/>
      <c r="G32" s="54"/>
      <c r="H32" s="54"/>
      <c r="I32" s="54"/>
      <c r="J32" s="54"/>
      <c r="K32" s="54"/>
      <c r="L32" s="54"/>
      <c r="M32" s="54"/>
      <c r="N32" s="54"/>
      <c r="P32" s="62">
        <f>SUM(C32:N32)</f>
        <v>518.92000000000007</v>
      </c>
    </row>
    <row r="34" spans="14:16" x14ac:dyDescent="0.3">
      <c r="N34" s="54" t="s">
        <v>44</v>
      </c>
      <c r="P34" s="62">
        <f>(P31*0.34) + 1330</f>
        <v>1648.92</v>
      </c>
    </row>
    <row r="35" spans="14:16" x14ac:dyDescent="0.3">
      <c r="N35" s="54" t="s">
        <v>45</v>
      </c>
      <c r="P35" s="62">
        <f>P34-P32</f>
        <v>1130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7"/>
  <sheetViews>
    <sheetView workbookViewId="0">
      <selection activeCell="C8" sqref="C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1" t="s">
        <v>23</v>
      </c>
      <c r="C2" s="72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460</v>
      </c>
    </row>
    <row r="6" spans="2:3" ht="28.2" customHeight="1" x14ac:dyDescent="0.3">
      <c r="B6" s="67" t="s">
        <v>46</v>
      </c>
      <c r="C6" s="33">
        <v>480</v>
      </c>
    </row>
    <row r="7" spans="2:3" x14ac:dyDescent="0.3">
      <c r="B7" s="67" t="s">
        <v>47</v>
      </c>
      <c r="C7" s="68">
        <v>510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3" t="s">
        <v>33</v>
      </c>
      <c r="C2" s="73"/>
    </row>
    <row r="3" spans="2:3" ht="16.95" customHeight="1" x14ac:dyDescent="0.3">
      <c r="B3" s="38" t="s">
        <v>34</v>
      </c>
      <c r="C3" s="39">
        <f>('2023'!P29)+('2024'!P29)+'2025'!P29</f>
        <v>-1477.9559999999919</v>
      </c>
    </row>
    <row r="4" spans="2:3" ht="16.95" customHeight="1" x14ac:dyDescent="0.3">
      <c r="B4" s="38" t="s">
        <v>39</v>
      </c>
      <c r="C4" s="40">
        <f>'2023'!P12+'2024'!P12+'2025'!P12</f>
        <v>50</v>
      </c>
    </row>
    <row r="5" spans="2:3" x14ac:dyDescent="0.3">
      <c r="B5" t="s">
        <v>48</v>
      </c>
      <c r="C5">
        <f>1.04+(2.08*25)-C4</f>
        <v>3.0399999999999991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2025-03-06T00:56:41Z</dcterms:modified>
</cp:coreProperties>
</file>