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C8436FA-44BF-496E-A2A7-E1AE4CA1B6B6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FRAIS_KM" localSheetId="3">'2025'!#REF!</definedName>
    <definedName name="FRAIS_KM">'2024'!$B$31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3">'2025'!#REF!</definedName>
    <definedName name="NOMBRE_KM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'2024'!$B$28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KM" localSheetId="3">'2025'!#REF!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'2024'!$B$26</definedName>
    <definedName name="TOTAL_SORTIES" localSheetId="3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7" l="1"/>
  <c r="D17" i="17"/>
  <c r="D19" i="17" s="1"/>
  <c r="L25" i="17"/>
  <c r="H25" i="17"/>
  <c r="G25" i="17"/>
  <c r="D25" i="17"/>
  <c r="P24" i="17"/>
  <c r="N25" i="17"/>
  <c r="M25" i="17"/>
  <c r="K25" i="17"/>
  <c r="J25" i="17"/>
  <c r="I25" i="17"/>
  <c r="F25" i="17"/>
  <c r="E25" i="17"/>
  <c r="P22" i="17"/>
  <c r="M19" i="17"/>
  <c r="L19" i="17"/>
  <c r="P18" i="17"/>
  <c r="N19" i="17"/>
  <c r="K19" i="17"/>
  <c r="J19" i="17"/>
  <c r="I19" i="17"/>
  <c r="H19" i="17"/>
  <c r="G19" i="17"/>
  <c r="F19" i="17"/>
  <c r="E19" i="17"/>
  <c r="P14" i="17"/>
  <c r="P13" i="17"/>
  <c r="P12" i="17"/>
  <c r="C4" i="13" s="1"/>
  <c r="C5" i="13" s="1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L26" i="16"/>
  <c r="P31" i="16"/>
  <c r="P30" i="16"/>
  <c r="K26" i="16"/>
  <c r="C26" i="16"/>
  <c r="P25" i="16"/>
  <c r="P24" i="16"/>
  <c r="N23" i="16"/>
  <c r="N26" i="16" s="1"/>
  <c r="M23" i="16"/>
  <c r="M26" i="16" s="1"/>
  <c r="L23" i="16"/>
  <c r="K23" i="16"/>
  <c r="J23" i="16"/>
  <c r="J26" i="16" s="1"/>
  <c r="I23" i="16"/>
  <c r="I26" i="16" s="1"/>
  <c r="H23" i="16"/>
  <c r="H26" i="16" s="1"/>
  <c r="G23" i="16"/>
  <c r="G26" i="16" s="1"/>
  <c r="F23" i="16"/>
  <c r="F26" i="16" s="1"/>
  <c r="E23" i="16"/>
  <c r="E26" i="16" s="1"/>
  <c r="D23" i="16"/>
  <c r="D26" i="16" s="1"/>
  <c r="C23" i="16"/>
  <c r="P22" i="16"/>
  <c r="G19" i="16"/>
  <c r="G28" i="16" s="1"/>
  <c r="C19" i="16"/>
  <c r="C28" i="16" s="1"/>
  <c r="P18" i="16"/>
  <c r="N17" i="16"/>
  <c r="N19" i="16" s="1"/>
  <c r="N28" i="16" s="1"/>
  <c r="M17" i="16"/>
  <c r="M19" i="16" s="1"/>
  <c r="L17" i="16"/>
  <c r="L19" i="16" s="1"/>
  <c r="K17" i="16"/>
  <c r="K19" i="16" s="1"/>
  <c r="K28" i="16" s="1"/>
  <c r="J17" i="16"/>
  <c r="J19" i="16" s="1"/>
  <c r="I17" i="16"/>
  <c r="I19" i="16" s="1"/>
  <c r="H17" i="16"/>
  <c r="H19" i="16" s="1"/>
  <c r="H28" i="16" s="1"/>
  <c r="G17" i="16"/>
  <c r="F17" i="16"/>
  <c r="F19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5" i="15"/>
  <c r="K25" i="15"/>
  <c r="J25" i="15"/>
  <c r="C25" i="15"/>
  <c r="P24" i="15"/>
  <c r="N23" i="15"/>
  <c r="M23" i="15"/>
  <c r="M25" i="15" s="1"/>
  <c r="L23" i="15"/>
  <c r="L25" i="15" s="1"/>
  <c r="K23" i="15"/>
  <c r="J23" i="15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D25" i="15" s="1"/>
  <c r="C23" i="15"/>
  <c r="P22" i="15"/>
  <c r="N19" i="15"/>
  <c r="G19" i="15"/>
  <c r="F19" i="15"/>
  <c r="P18" i="15"/>
  <c r="N17" i="15"/>
  <c r="M17" i="15"/>
  <c r="M19" i="15" s="1"/>
  <c r="L17" i="15"/>
  <c r="L19" i="15" s="1"/>
  <c r="K17" i="15"/>
  <c r="K19" i="15" s="1"/>
  <c r="J17" i="15"/>
  <c r="J19" i="15" s="1"/>
  <c r="J27" i="15" s="1"/>
  <c r="I17" i="15"/>
  <c r="I19" i="15" s="1"/>
  <c r="H17" i="15"/>
  <c r="H19" i="15" s="1"/>
  <c r="G17" i="15"/>
  <c r="F17" i="15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M24" i="14"/>
  <c r="L24" i="14"/>
  <c r="L26" i="14" s="1"/>
  <c r="K24" i="14"/>
  <c r="J24" i="14"/>
  <c r="I24" i="14"/>
  <c r="H24" i="14"/>
  <c r="G24" i="14"/>
  <c r="F24" i="14"/>
  <c r="E24" i="14"/>
  <c r="D24" i="14"/>
  <c r="D26" i="14" s="1"/>
  <c r="C24" i="14"/>
  <c r="P24" i="14" s="1"/>
  <c r="N23" i="14"/>
  <c r="N24" i="14" s="1"/>
  <c r="P22" i="14"/>
  <c r="M19" i="14"/>
  <c r="L19" i="14"/>
  <c r="K19" i="14"/>
  <c r="J19" i="14"/>
  <c r="I19" i="14"/>
  <c r="H19" i="14"/>
  <c r="H26" i="14" s="1"/>
  <c r="G19" i="14"/>
  <c r="G26" i="14" s="1"/>
  <c r="F19" i="14"/>
  <c r="F26" i="14" s="1"/>
  <c r="E19" i="14"/>
  <c r="D19" i="14"/>
  <c r="C19" i="14"/>
  <c r="P18" i="14"/>
  <c r="N17" i="14"/>
  <c r="N19" i="14" s="1"/>
  <c r="N26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7" i="17" l="1"/>
  <c r="P17" i="14"/>
  <c r="L27" i="17"/>
  <c r="K27" i="15"/>
  <c r="P19" i="14"/>
  <c r="P8" i="15"/>
  <c r="D27" i="15"/>
  <c r="N27" i="15"/>
  <c r="I27" i="15"/>
  <c r="H27" i="17"/>
  <c r="E27" i="15"/>
  <c r="M27" i="15"/>
  <c r="I27" i="17"/>
  <c r="P8" i="14"/>
  <c r="I26" i="14"/>
  <c r="J26" i="14"/>
  <c r="J28" i="16"/>
  <c r="K26" i="14"/>
  <c r="L27" i="15"/>
  <c r="P26" i="16"/>
  <c r="E26" i="14"/>
  <c r="M26" i="14"/>
  <c r="E28" i="16"/>
  <c r="M28" i="16"/>
  <c r="P23" i="16"/>
  <c r="P8" i="16"/>
  <c r="F28" i="16"/>
  <c r="F27" i="15"/>
  <c r="G27" i="17"/>
  <c r="P8" i="17"/>
  <c r="E27" i="17"/>
  <c r="J27" i="17"/>
  <c r="K27" i="17"/>
  <c r="M27" i="17"/>
  <c r="F27" i="17"/>
  <c r="N27" i="17"/>
  <c r="C27" i="15"/>
  <c r="P19" i="15"/>
  <c r="P25" i="15"/>
  <c r="P19" i="16"/>
  <c r="D28" i="16"/>
  <c r="L28" i="16"/>
  <c r="H27" i="15"/>
  <c r="G27" i="15"/>
  <c r="I28" i="16"/>
  <c r="C26" i="14"/>
  <c r="P23" i="15"/>
  <c r="P23" i="14"/>
  <c r="P17" i="16"/>
  <c r="P17" i="15"/>
  <c r="P28" i="16" l="1"/>
  <c r="P26" i="14"/>
  <c r="P27" i="15"/>
  <c r="C23" i="17"/>
  <c r="C17" i="17"/>
  <c r="C19" i="17" l="1"/>
  <c r="P17" i="17"/>
  <c r="C25" i="17"/>
  <c r="P25" i="17" s="1"/>
  <c r="P23" i="17"/>
  <c r="P19" i="17" l="1"/>
  <c r="C27" i="17"/>
  <c r="P27" i="17" s="1"/>
  <c r="C3" i="13" s="1"/>
</calcChain>
</file>

<file path=xl/sharedStrings.xml><?xml version="1.0" encoding="utf-8"?>
<sst xmlns="http://schemas.openxmlformats.org/spreadsheetml/2006/main" count="146" uniqueCount="45">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</sst>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G29" sqref="G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17</v>
      </c>
      <c r="O6" s="31"/>
      <c r="P6" s="52">
        <f>SUM(C6:N6)</f>
        <v>17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17</v>
      </c>
      <c r="O7" s="31"/>
      <c r="P7" s="52">
        <f>SUM(C7:N7)</f>
        <v>17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17</v>
      </c>
      <c r="P11" s="53">
        <f>SUM(C11:N11)</f>
        <v>17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8996.2000000000007</v>
      </c>
      <c r="O17" s="4"/>
      <c r="P17" s="37">
        <f>SUM(C17:N17)</f>
        <v>8996.2000000000007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8996.2000000000007</v>
      </c>
      <c r="O19" s="5"/>
      <c r="P19" s="38">
        <f>SUM(C19:O19)</f>
        <v>8996.2000000000007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5018.84</v>
      </c>
      <c r="O22" s="4"/>
      <c r="P22" s="39">
        <f>SUM(C22:N22)</f>
        <v>5018.84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978.04+1956.74</f>
        <v>2934.7799999999997</v>
      </c>
      <c r="O23" s="4"/>
      <c r="P23" s="39">
        <f>SUM(C23:N23)</f>
        <v>2934.7799999999997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7953.62</v>
      </c>
      <c r="O24" s="4"/>
      <c r="P24" s="41">
        <f>SUM(C24:N24)</f>
        <v>7953.62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1042.5800000000008</v>
      </c>
      <c r="P26" s="54">
        <f>SUM(C26:O26)</f>
        <v>1042.5800000000008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topLeftCell="A4" workbookViewId="0">
      <selection activeCell="E25" sqref="E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20</v>
      </c>
      <c r="E7" s="33">
        <v>16</v>
      </c>
      <c r="F7" s="33">
        <v>19</v>
      </c>
      <c r="G7" s="33">
        <v>14</v>
      </c>
      <c r="H7" s="33">
        <v>17</v>
      </c>
      <c r="I7" s="33">
        <v>15</v>
      </c>
      <c r="J7" s="33">
        <v>20</v>
      </c>
      <c r="K7" s="33">
        <v>21</v>
      </c>
      <c r="L7" s="33">
        <v>22</v>
      </c>
      <c r="M7" s="33">
        <v>21</v>
      </c>
      <c r="N7" s="33">
        <v>20</v>
      </c>
      <c r="O7" s="31"/>
      <c r="P7" s="52">
        <f>SUM(C7:N7)</f>
        <v>227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-3</v>
      </c>
      <c r="F8" s="32">
        <f t="shared" si="0"/>
        <v>0</v>
      </c>
      <c r="G8" s="32">
        <f t="shared" si="0"/>
        <v>-5</v>
      </c>
      <c r="H8" s="32">
        <f t="shared" si="0"/>
        <v>-2</v>
      </c>
      <c r="I8" s="32">
        <f t="shared" si="0"/>
        <v>-4</v>
      </c>
      <c r="J8" s="32">
        <f t="shared" si="0"/>
        <v>1</v>
      </c>
      <c r="K8" s="32">
        <f t="shared" si="0"/>
        <v>2</v>
      </c>
      <c r="L8" s="32">
        <f t="shared" si="0"/>
        <v>3</v>
      </c>
      <c r="M8" s="32">
        <f t="shared" si="0"/>
        <v>2</v>
      </c>
      <c r="N8" s="32">
        <f t="shared" si="0"/>
        <v>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16</v>
      </c>
      <c r="F11" s="10">
        <v>19</v>
      </c>
      <c r="G11" s="10">
        <v>14</v>
      </c>
      <c r="H11" s="10">
        <v>17</v>
      </c>
      <c r="I11" s="10">
        <v>15</v>
      </c>
      <c r="J11" s="10">
        <v>20</v>
      </c>
      <c r="K11" s="10">
        <v>21</v>
      </c>
      <c r="L11" s="10">
        <v>22</v>
      </c>
      <c r="M11" s="10">
        <v>21</v>
      </c>
      <c r="N11" s="10">
        <v>20</v>
      </c>
      <c r="P11" s="53">
        <f>SUM(C11:N11)</f>
        <v>227</v>
      </c>
    </row>
    <row r="12" spans="2:16" x14ac:dyDescent="0.3">
      <c r="B12" s="8" t="s">
        <v>15</v>
      </c>
      <c r="C12" s="11"/>
      <c r="D12" s="11"/>
      <c r="E12" s="11">
        <v>7</v>
      </c>
      <c r="F12" s="11"/>
      <c r="G12" s="11">
        <v>5</v>
      </c>
      <c r="H12" s="11">
        <v>5</v>
      </c>
      <c r="I12" s="11">
        <v>5</v>
      </c>
      <c r="J12" s="11">
        <v>0</v>
      </c>
      <c r="K12" s="11"/>
      <c r="L12" s="11"/>
      <c r="M12" s="11"/>
      <c r="N12" s="11"/>
      <c r="P12" s="53">
        <f>SUM(C12:N12)</f>
        <v>22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2</v>
      </c>
      <c r="K13" s="11"/>
      <c r="L13" s="11"/>
      <c r="M13" s="11"/>
      <c r="N13" s="11"/>
      <c r="P13" s="53">
        <f>SUM(C13:N13)</f>
        <v>2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8462.6</v>
      </c>
      <c r="F17" s="9">
        <f>F11*Params!$C$5*(1-Params!$C$3)-Params!$C$4</f>
        <v>10063.4</v>
      </c>
      <c r="G17" s="9">
        <f>G11*Params!$C$5*(1-Params!$C$3)-Params!$C$4</f>
        <v>7395.4000000000005</v>
      </c>
      <c r="H17" s="9">
        <f>H11*Params!$C$5*(1-Params!$C$3)-Params!$C$4</f>
        <v>8996.2000000000007</v>
      </c>
      <c r="I17" s="9">
        <f>I11*Params!$C$5*(1-Params!$C$3)-Params!$C$4</f>
        <v>7929</v>
      </c>
      <c r="J17" s="9">
        <f>J11*Params!$C$5*(1-Params!$C$3)-Params!$C$4</f>
        <v>10597</v>
      </c>
      <c r="K17" s="9">
        <f>K11*Params!$C$5*(1-Params!$C$3)-Params!$C$4</f>
        <v>11130.6</v>
      </c>
      <c r="L17" s="9">
        <f>L11*Params!$C$5*(1-Params!$C$3)-Params!$C$4</f>
        <v>11664.2</v>
      </c>
      <c r="M17" s="9">
        <f>M11*Params!$C$5*(1-Params!$C$3)-Params!$C$4</f>
        <v>11130.6</v>
      </c>
      <c r="N17" s="9">
        <f>N11*Params!$C$5*(1-Params!$C$3)-Params!$C$4</f>
        <v>10597</v>
      </c>
      <c r="O17" s="4"/>
      <c r="P17" s="37">
        <f>SUM(C17:N17)</f>
        <v>120227.20000000001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8462.6</v>
      </c>
      <c r="F19" s="25">
        <f t="shared" si="1"/>
        <v>10063.4</v>
      </c>
      <c r="G19" s="25">
        <f t="shared" si="1"/>
        <v>7395.4000000000005</v>
      </c>
      <c r="H19" s="25">
        <f t="shared" si="1"/>
        <v>8996.2000000000007</v>
      </c>
      <c r="I19" s="25">
        <f t="shared" si="1"/>
        <v>7929</v>
      </c>
      <c r="J19" s="25">
        <f t="shared" si="1"/>
        <v>10597</v>
      </c>
      <c r="K19" s="25">
        <f t="shared" si="1"/>
        <v>11130.6</v>
      </c>
      <c r="L19" s="25">
        <f t="shared" si="1"/>
        <v>11664.2</v>
      </c>
      <c r="M19" s="25">
        <f t="shared" si="1"/>
        <v>11130.6</v>
      </c>
      <c r="N19" s="25">
        <f t="shared" si="1"/>
        <v>10597</v>
      </c>
      <c r="O19" s="5"/>
      <c r="P19" s="38">
        <f>SUM(C19:N19)</f>
        <v>120227.20000000001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6367.29</v>
      </c>
      <c r="D22" s="9">
        <v>6367.29</v>
      </c>
      <c r="E22" s="9">
        <v>6367.29</v>
      </c>
      <c r="F22" s="9">
        <v>6367.29</v>
      </c>
      <c r="G22" s="9">
        <v>6367.29</v>
      </c>
      <c r="H22" s="9">
        <v>6367.29</v>
      </c>
      <c r="I22" s="9">
        <v>6367.29</v>
      </c>
      <c r="J22" s="9">
        <v>5823.27</v>
      </c>
      <c r="K22" s="9">
        <v>6367.29</v>
      </c>
      <c r="L22" s="9">
        <v>6367.29</v>
      </c>
      <c r="M22" s="9">
        <v>6367.29</v>
      </c>
      <c r="N22" s="9">
        <v>6367.29</v>
      </c>
      <c r="O22" s="4"/>
      <c r="P22" s="39">
        <f>SUM(C22:N22)</f>
        <v>75863.459999999992</v>
      </c>
    </row>
    <row r="23" spans="2:16" x14ac:dyDescent="0.3">
      <c r="B23" s="8" t="s">
        <v>8</v>
      </c>
      <c r="C23" s="9">
        <f>1236.86+2473.75</f>
        <v>3710.6099999999997</v>
      </c>
      <c r="D23" s="9">
        <f>1236.86+2473.75</f>
        <v>3710.6099999999997</v>
      </c>
      <c r="E23" s="9">
        <f>1236.86+2473.75</f>
        <v>3710.6099999999997</v>
      </c>
      <c r="F23" s="9">
        <f>1236.86+2492.17</f>
        <v>3729.0299999999997</v>
      </c>
      <c r="G23" s="9">
        <f>1236.86+2476.78</f>
        <v>3713.6400000000003</v>
      </c>
      <c r="H23" s="9">
        <f>1236.86+2488.4</f>
        <v>3725.26</v>
      </c>
      <c r="I23" s="9">
        <f>1236.86+2488.4</f>
        <v>3725.26</v>
      </c>
      <c r="J23" s="9">
        <f>1129.56+2270.8</f>
        <v>3400.36</v>
      </c>
      <c r="K23" s="9">
        <f>1236.86+2475.26</f>
        <v>3712.12</v>
      </c>
      <c r="L23" s="9">
        <f>1236.86+2475.26</f>
        <v>3712.12</v>
      </c>
      <c r="M23" s="9">
        <f>1236.86+2475.26</f>
        <v>3712.12</v>
      </c>
      <c r="N23" s="9">
        <f>1236.86+2475.26</f>
        <v>3712.12</v>
      </c>
      <c r="O23" s="4"/>
      <c r="P23" s="39">
        <f>SUM(C23:N23)</f>
        <v>44273.860000000008</v>
      </c>
    </row>
    <row r="24" spans="2:16" x14ac:dyDescent="0.3">
      <c r="B24" s="60" t="s">
        <v>39</v>
      </c>
      <c r="C24" s="61"/>
      <c r="D24" s="61"/>
      <c r="E24" s="61">
        <v>486</v>
      </c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486</v>
      </c>
    </row>
    <row r="25" spans="2:16" x14ac:dyDescent="0.3">
      <c r="B25" s="7" t="s">
        <v>3</v>
      </c>
      <c r="C25" s="40">
        <f t="shared" ref="C25:N25" si="2">SUM(C22:C24)</f>
        <v>10077.9</v>
      </c>
      <c r="D25" s="40">
        <f t="shared" si="2"/>
        <v>10077.9</v>
      </c>
      <c r="E25" s="40">
        <f t="shared" si="2"/>
        <v>10563.9</v>
      </c>
      <c r="F25" s="40">
        <f t="shared" si="2"/>
        <v>10096.32</v>
      </c>
      <c r="G25" s="40">
        <f t="shared" si="2"/>
        <v>10080.93</v>
      </c>
      <c r="H25" s="40">
        <f t="shared" si="2"/>
        <v>10092.549999999999</v>
      </c>
      <c r="I25" s="40">
        <f t="shared" si="2"/>
        <v>10092.549999999999</v>
      </c>
      <c r="J25" s="40">
        <f t="shared" si="2"/>
        <v>9223.630000000001</v>
      </c>
      <c r="K25" s="40">
        <f t="shared" si="2"/>
        <v>10079.41</v>
      </c>
      <c r="L25" s="40">
        <f t="shared" si="2"/>
        <v>10079.41</v>
      </c>
      <c r="M25" s="40">
        <f t="shared" si="2"/>
        <v>10079.41</v>
      </c>
      <c r="N25" s="40">
        <f t="shared" si="2"/>
        <v>10079.41</v>
      </c>
      <c r="O25" s="4"/>
      <c r="P25" s="41">
        <f>SUM(C25:N25)</f>
        <v>120623.32000000002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1586.3000000000011</v>
      </c>
      <c r="D27" s="44">
        <f t="shared" si="3"/>
        <v>519.10000000000036</v>
      </c>
      <c r="E27" s="44">
        <f t="shared" si="3"/>
        <v>-2101.2999999999993</v>
      </c>
      <c r="F27" s="44">
        <f t="shared" si="3"/>
        <v>-32.920000000000073</v>
      </c>
      <c r="G27" s="44">
        <f t="shared" si="3"/>
        <v>-2685.5299999999997</v>
      </c>
      <c r="H27" s="44">
        <f t="shared" si="3"/>
        <v>-1096.3499999999985</v>
      </c>
      <c r="I27" s="44">
        <f t="shared" si="3"/>
        <v>-2163.5499999999993</v>
      </c>
      <c r="J27" s="44">
        <f t="shared" si="3"/>
        <v>1373.369999999999</v>
      </c>
      <c r="K27" s="44">
        <f t="shared" si="3"/>
        <v>1051.1900000000005</v>
      </c>
      <c r="L27" s="44">
        <f t="shared" si="3"/>
        <v>1584.7900000000009</v>
      </c>
      <c r="M27" s="44">
        <f t="shared" si="3"/>
        <v>1051.1900000000005</v>
      </c>
      <c r="N27" s="44">
        <f t="shared" si="3"/>
        <v>517.59000000000015</v>
      </c>
      <c r="P27" s="54">
        <f>SUM(C27:N27)</f>
        <v>-396.11999999999443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03DF-7E60-4BBA-99B5-AC7F1D680874}">
  <dimension ref="B1:P31"/>
  <sheetViews>
    <sheetView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18</v>
      </c>
      <c r="D7" s="33">
        <v>19</v>
      </c>
      <c r="E7" s="33">
        <v>20</v>
      </c>
      <c r="F7" s="33">
        <v>21</v>
      </c>
      <c r="G7" s="33">
        <v>17</v>
      </c>
      <c r="H7" s="33">
        <v>11</v>
      </c>
      <c r="I7" s="33">
        <v>23</v>
      </c>
      <c r="J7" s="33">
        <v>16</v>
      </c>
      <c r="K7" s="33">
        <v>21</v>
      </c>
      <c r="L7" s="33">
        <v>21</v>
      </c>
      <c r="M7" s="33">
        <v>19</v>
      </c>
      <c r="N7" s="33">
        <v>21</v>
      </c>
      <c r="O7" s="31"/>
      <c r="P7" s="52">
        <f>SUM(C7:N7)</f>
        <v>227</v>
      </c>
    </row>
    <row r="8" spans="2:16" x14ac:dyDescent="0.3">
      <c r="B8" s="16" t="s">
        <v>21</v>
      </c>
      <c r="C8" s="32">
        <f t="shared" ref="C8:N8" si="0">C7-C6</f>
        <v>-1</v>
      </c>
      <c r="D8" s="32">
        <f t="shared" si="0"/>
        <v>0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-8</v>
      </c>
      <c r="I8" s="32">
        <f t="shared" si="0"/>
        <v>4</v>
      </c>
      <c r="J8" s="32">
        <f t="shared" si="0"/>
        <v>-3</v>
      </c>
      <c r="K8" s="32">
        <f t="shared" si="0"/>
        <v>2</v>
      </c>
      <c r="L8" s="32">
        <f t="shared" si="0"/>
        <v>2</v>
      </c>
      <c r="M8" s="32">
        <f t="shared" si="0"/>
        <v>0</v>
      </c>
      <c r="N8" s="32">
        <f t="shared" si="0"/>
        <v>2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18</v>
      </c>
      <c r="D11" s="10">
        <v>19</v>
      </c>
      <c r="E11" s="10">
        <v>20.5</v>
      </c>
      <c r="F11" s="10">
        <v>21</v>
      </c>
      <c r="G11" s="10">
        <v>17</v>
      </c>
      <c r="H11" s="10">
        <v>11</v>
      </c>
      <c r="I11" s="10">
        <v>23</v>
      </c>
      <c r="J11" s="10">
        <v>16</v>
      </c>
      <c r="K11" s="10">
        <v>21</v>
      </c>
      <c r="L11" s="10">
        <v>21</v>
      </c>
      <c r="M11" s="10">
        <v>19</v>
      </c>
      <c r="N11" s="10">
        <v>21</v>
      </c>
      <c r="P11" s="53">
        <f>SUM(C11:N11)</f>
        <v>227.5</v>
      </c>
    </row>
    <row r="12" spans="2:16" x14ac:dyDescent="0.3">
      <c r="B12" s="8" t="s">
        <v>15</v>
      </c>
      <c r="C12" s="11">
        <v>4</v>
      </c>
      <c r="D12" s="11">
        <v>2</v>
      </c>
      <c r="E12" s="11">
        <v>0.5</v>
      </c>
      <c r="F12" s="11"/>
      <c r="G12" s="11">
        <v>2</v>
      </c>
      <c r="H12" s="11">
        <v>9</v>
      </c>
      <c r="I12" s="11"/>
      <c r="J12" s="11">
        <v>5</v>
      </c>
      <c r="K12" s="11"/>
      <c r="L12" s="11">
        <v>2</v>
      </c>
      <c r="M12" s="11"/>
      <c r="N12" s="11"/>
      <c r="P12" s="53">
        <f>SUM(C12:N12)</f>
        <v>24.5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9529.8000000000011</v>
      </c>
      <c r="D17" s="9">
        <f>D11*Params!$C$5*(1-Params!$C$3)-Params!$C$4</f>
        <v>10063.4</v>
      </c>
      <c r="E17" s="9">
        <f>E11*Params!$C$5*(1-Params!$C$3)-Params!$C$4</f>
        <v>10863.800000000001</v>
      </c>
      <c r="F17" s="9">
        <f>F11*Params!$C$5*(1-Params!$C$3)-Params!$C$4</f>
        <v>11130.6</v>
      </c>
      <c r="G17" s="9">
        <f>G11*Params!$C$5*(1-Params!$C$3)-Params!$C$4</f>
        <v>8996.2000000000007</v>
      </c>
      <c r="H17" s="9">
        <f>H11*Params!$C$5*(1-Params!$C$3)-Params!$C$4</f>
        <v>5794.6</v>
      </c>
      <c r="I17" s="9">
        <f>I11*Params!$C$5*(1-Params!$C$3)-Params!$C$4</f>
        <v>12197.800000000001</v>
      </c>
      <c r="J17" s="9">
        <f>J11*Params!$C$5*(1-Params!$C$3)-Params!$C$4</f>
        <v>8462.6</v>
      </c>
      <c r="K17" s="9">
        <f>K11*Params!$C$5*(1-Params!$C$3)-Params!$C$4</f>
        <v>11130.6</v>
      </c>
      <c r="L17" s="9">
        <f>L11*Params!$C$5*(1-Params!$C$3)-Params!$C$4</f>
        <v>11130.6</v>
      </c>
      <c r="M17" s="9">
        <f>M11*Params!$C$5*(1-Params!$C$3)-Params!$C$4</f>
        <v>10063.4</v>
      </c>
      <c r="N17" s="9">
        <f>N11*Params!$C$5*(1-Params!$C$3)-Params!$C$4</f>
        <v>11130.6</v>
      </c>
      <c r="O17" s="4"/>
      <c r="P17" s="37">
        <f>SUM(C17:N17)</f>
        <v>120494.00000000001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9529.8000000000011</v>
      </c>
      <c r="D19" s="25">
        <f t="shared" si="1"/>
        <v>10063.4</v>
      </c>
      <c r="E19" s="25">
        <f t="shared" si="1"/>
        <v>10863.800000000001</v>
      </c>
      <c r="F19" s="25">
        <f t="shared" si="1"/>
        <v>11130.6</v>
      </c>
      <c r="G19" s="25">
        <f t="shared" si="1"/>
        <v>8996.2000000000007</v>
      </c>
      <c r="H19" s="25">
        <f t="shared" si="1"/>
        <v>5794.6</v>
      </c>
      <c r="I19" s="25">
        <f t="shared" si="1"/>
        <v>12197.800000000001</v>
      </c>
      <c r="J19" s="25">
        <f t="shared" si="1"/>
        <v>8462.6</v>
      </c>
      <c r="K19" s="25">
        <f t="shared" si="1"/>
        <v>11130.6</v>
      </c>
      <c r="L19" s="25">
        <f t="shared" si="1"/>
        <v>11130.6</v>
      </c>
      <c r="M19" s="25">
        <f t="shared" si="1"/>
        <v>10063.4</v>
      </c>
      <c r="N19" s="25">
        <f t="shared" si="1"/>
        <v>11130.6</v>
      </c>
      <c r="O19" s="5"/>
      <c r="P19" s="38">
        <f>SUM(C19:O19)</f>
        <v>120494.00000000001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6360.65</v>
      </c>
      <c r="D22" s="9">
        <v>6360.65</v>
      </c>
      <c r="E22" s="9">
        <v>6360.65</v>
      </c>
      <c r="F22" s="9">
        <v>5750.9</v>
      </c>
      <c r="G22" s="9">
        <v>5750.9</v>
      </c>
      <c r="H22" s="9">
        <v>5750.9</v>
      </c>
      <c r="I22" s="9">
        <v>6519.51</v>
      </c>
      <c r="J22" s="9">
        <v>5966.54</v>
      </c>
      <c r="K22" s="9">
        <v>5966.54</v>
      </c>
      <c r="L22" s="9">
        <v>5966.54</v>
      </c>
      <c r="M22" s="9">
        <v>5966.54</v>
      </c>
      <c r="N22" s="9">
        <v>5966.54</v>
      </c>
      <c r="O22" s="4"/>
      <c r="P22" s="39">
        <f>SUM(C22:N22)</f>
        <v>72686.86</v>
      </c>
    </row>
    <row r="23" spans="2:16" x14ac:dyDescent="0.3">
      <c r="B23" s="8" t="s">
        <v>8</v>
      </c>
      <c r="C23" s="9">
        <f>1250.35+2492.72</f>
        <v>3743.0699999999997</v>
      </c>
      <c r="D23" s="9">
        <f>1250.35+2503.25</f>
        <v>3753.6</v>
      </c>
      <c r="E23" s="9">
        <f>1250.35+2497.97</f>
        <v>3748.3199999999997</v>
      </c>
      <c r="F23" s="9">
        <f>1223.15+2398.64</f>
        <v>3621.79</v>
      </c>
      <c r="G23" s="9">
        <f>1223.15+2423.65</f>
        <v>3646.8</v>
      </c>
      <c r="H23" s="9">
        <f>1223.15+2428.07</f>
        <v>3651.2200000000003</v>
      </c>
      <c r="I23" s="9">
        <f>1309.88+2614.9</f>
        <v>3924.78</v>
      </c>
      <c r="J23" s="9">
        <f>1248.59+2479.97</f>
        <v>3728.5599999999995</v>
      </c>
      <c r="K23" s="9">
        <f>1248.59+2491.04</f>
        <v>3739.63</v>
      </c>
      <c r="L23" s="9">
        <f>1248.59+2479.97</f>
        <v>3728.5599999999995</v>
      </c>
      <c r="M23" s="9">
        <f>1248.59+2484.39</f>
        <v>3732.9799999999996</v>
      </c>
      <c r="N23" s="9">
        <f>1248.59+2479.97</f>
        <v>3728.5599999999995</v>
      </c>
      <c r="O23" s="4"/>
      <c r="P23" s="39">
        <f>SUM(C23:N23)</f>
        <v>44747.869999999995</v>
      </c>
    </row>
    <row r="24" spans="2:16" x14ac:dyDescent="0.3">
      <c r="B24" s="60" t="s">
        <v>40</v>
      </c>
      <c r="C24" s="61"/>
      <c r="D24" s="61"/>
      <c r="E24" s="61"/>
      <c r="F24" s="61">
        <v>596.44000000000005</v>
      </c>
      <c r="G24" s="61">
        <v>501.88</v>
      </c>
      <c r="H24" s="61">
        <v>360.04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4"/>
      <c r="P24" s="39">
        <f>SUM(C24:N24)</f>
        <v>1458.3600000000001</v>
      </c>
    </row>
    <row r="25" spans="2:16" x14ac:dyDescent="0.3">
      <c r="B25" s="8" t="s">
        <v>43</v>
      </c>
      <c r="C25" s="9"/>
      <c r="D25" s="9"/>
      <c r="E25" s="9"/>
      <c r="F25" s="9"/>
      <c r="G25" s="9"/>
      <c r="H25" s="9"/>
      <c r="I25" s="9"/>
      <c r="J25" s="9"/>
      <c r="K25" s="9"/>
      <c r="L25" s="9">
        <v>297.49</v>
      </c>
      <c r="M25" s="9"/>
      <c r="N25" s="9"/>
      <c r="O25" s="4"/>
      <c r="P25" s="39">
        <f>SUM(C25:N25)</f>
        <v>297.49</v>
      </c>
    </row>
    <row r="26" spans="2:16" x14ac:dyDescent="0.3">
      <c r="B26" s="7" t="s">
        <v>3</v>
      </c>
      <c r="C26" s="40">
        <f t="shared" ref="C26:N26" si="2">SUM(C22:C24)</f>
        <v>10103.719999999999</v>
      </c>
      <c r="D26" s="40">
        <f t="shared" si="2"/>
        <v>10114.25</v>
      </c>
      <c r="E26" s="40">
        <f t="shared" si="2"/>
        <v>10108.969999999999</v>
      </c>
      <c r="F26" s="40">
        <f t="shared" si="2"/>
        <v>9969.1299999999992</v>
      </c>
      <c r="G26" s="40">
        <f t="shared" si="2"/>
        <v>9899.58</v>
      </c>
      <c r="H26" s="40">
        <f t="shared" si="2"/>
        <v>9762.16</v>
      </c>
      <c r="I26" s="40">
        <f t="shared" si="2"/>
        <v>10444.290000000001</v>
      </c>
      <c r="J26" s="40">
        <f t="shared" si="2"/>
        <v>9695.0999999999985</v>
      </c>
      <c r="K26" s="40">
        <f t="shared" si="2"/>
        <v>9706.17</v>
      </c>
      <c r="L26" s="40">
        <f>SUM(L22:L25)</f>
        <v>9992.5899999999983</v>
      </c>
      <c r="M26" s="40">
        <f t="shared" si="2"/>
        <v>9699.52</v>
      </c>
      <c r="N26" s="40">
        <f t="shared" si="2"/>
        <v>9695.0999999999985</v>
      </c>
      <c r="O26" s="4"/>
      <c r="P26" s="41">
        <f>SUM(C26:N26)</f>
        <v>119190.58000000002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C19-C26</f>
        <v>-573.91999999999825</v>
      </c>
      <c r="D28" s="44">
        <f t="shared" si="3"/>
        <v>-50.850000000000364</v>
      </c>
      <c r="E28" s="44">
        <f t="shared" si="3"/>
        <v>754.83000000000175</v>
      </c>
      <c r="F28" s="44">
        <f t="shared" si="3"/>
        <v>1161.4700000000012</v>
      </c>
      <c r="G28" s="44">
        <f t="shared" si="3"/>
        <v>-903.3799999999992</v>
      </c>
      <c r="H28" s="44">
        <f t="shared" si="3"/>
        <v>-3967.5599999999995</v>
      </c>
      <c r="I28" s="44">
        <f t="shared" si="3"/>
        <v>1753.5100000000002</v>
      </c>
      <c r="J28" s="44">
        <f t="shared" si="3"/>
        <v>-1232.4999999999982</v>
      </c>
      <c r="K28" s="44">
        <f t="shared" si="3"/>
        <v>1424.4300000000003</v>
      </c>
      <c r="L28" s="44">
        <f t="shared" si="3"/>
        <v>1138.010000000002</v>
      </c>
      <c r="M28" s="44">
        <f t="shared" si="3"/>
        <v>363.8799999999992</v>
      </c>
      <c r="N28" s="44">
        <f t="shared" si="3"/>
        <v>1435.5000000000018</v>
      </c>
      <c r="P28" s="54">
        <f>SUM(C28:O28)</f>
        <v>1303.420000000011</v>
      </c>
    </row>
    <row r="30" spans="2:16" x14ac:dyDescent="0.3">
      <c r="B30" s="62" t="s">
        <v>41</v>
      </c>
      <c r="C30" s="63"/>
      <c r="D30" s="63"/>
      <c r="E30" s="63"/>
      <c r="F30" s="63">
        <v>1260</v>
      </c>
      <c r="G30" s="63">
        <v>1020</v>
      </c>
      <c r="H30" s="63">
        <v>660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P30" s="64">
        <f>SUM(C30:N30)</f>
        <v>2940</v>
      </c>
    </row>
    <row r="31" spans="2:16" x14ac:dyDescent="0.3">
      <c r="B31" s="62" t="s">
        <v>42</v>
      </c>
      <c r="C31" s="63"/>
      <c r="D31" s="63"/>
      <c r="E31" s="63"/>
      <c r="F31" s="63">
        <v>596.44000000000005</v>
      </c>
      <c r="G31" s="63">
        <v>501.88</v>
      </c>
      <c r="H31" s="63">
        <v>360.04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P31" s="64">
        <f>SUM(C31:N31)</f>
        <v>1458.3600000000001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910A-1672-4766-BE42-C6D52589E70D}">
  <dimension ref="B1:P27"/>
  <sheetViews>
    <sheetView tabSelected="1" workbookViewId="0">
      <selection activeCell="E23" sqref="E2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22</v>
      </c>
      <c r="D7" s="33">
        <v>20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42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22261.200000000001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22261.200000000001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6247.59</v>
      </c>
      <c r="D22" s="9">
        <v>6247.59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12495.18</v>
      </c>
    </row>
    <row r="23" spans="2:16" x14ac:dyDescent="0.3">
      <c r="B23" s="8" t="s">
        <v>8</v>
      </c>
      <c r="C23" s="9">
        <f>1254.5+2486.31</f>
        <v>3740.81</v>
      </c>
      <c r="D23" s="9">
        <f>1254.5+2486.31</f>
        <v>3740.81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7481.62</v>
      </c>
    </row>
    <row r="24" spans="2:16" x14ac:dyDescent="0.3">
      <c r="B24" s="8" t="s">
        <v>43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0</v>
      </c>
    </row>
    <row r="25" spans="2:16" x14ac:dyDescent="0.3">
      <c r="B25" s="7" t="s">
        <v>3</v>
      </c>
      <c r="C25" s="40">
        <f>SUM(C22:C23)</f>
        <v>9988.4</v>
      </c>
      <c r="D25" s="40">
        <f>SUM(D22:D23)</f>
        <v>9988.4</v>
      </c>
      <c r="E25" s="40">
        <f>SUM(E22:E23)</f>
        <v>0</v>
      </c>
      <c r="F25" s="40">
        <f>SUM(F22:F23)</f>
        <v>0</v>
      </c>
      <c r="G25" s="40">
        <f>SUM(G22:G23)</f>
        <v>0</v>
      </c>
      <c r="H25" s="40">
        <f>SUM(H22:H23)</f>
        <v>0</v>
      </c>
      <c r="I25" s="40">
        <f>SUM(I22:I23)</f>
        <v>0</v>
      </c>
      <c r="J25" s="40">
        <f>SUM(J22:J23)</f>
        <v>0</v>
      </c>
      <c r="K25" s="40">
        <f>SUM(K22:K23)</f>
        <v>0</v>
      </c>
      <c r="L25" s="40">
        <f>SUM(L22:L24)</f>
        <v>0</v>
      </c>
      <c r="M25" s="40">
        <f>SUM(M22:M23)</f>
        <v>0</v>
      </c>
      <c r="N25" s="40">
        <f>SUM(N22:N23)</f>
        <v>0</v>
      </c>
      <c r="O25" s="4"/>
      <c r="P25" s="41">
        <f>SUM(C25:N25)</f>
        <v>19976.8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>C19-C25</f>
        <v>1675.8000000000011</v>
      </c>
      <c r="D27" s="44">
        <f>D19-D25</f>
        <v>608.60000000000036</v>
      </c>
      <c r="E27" s="44">
        <f>E19-E25</f>
        <v>0</v>
      </c>
      <c r="F27" s="44">
        <f>F19-F25</f>
        <v>0</v>
      </c>
      <c r="G27" s="44">
        <f>G19-G25</f>
        <v>0</v>
      </c>
      <c r="H27" s="44">
        <f>H19-H25</f>
        <v>0</v>
      </c>
      <c r="I27" s="44">
        <f>I19-I25</f>
        <v>0</v>
      </c>
      <c r="J27" s="44">
        <f>J19-J25</f>
        <v>0</v>
      </c>
      <c r="K27" s="44">
        <f>K19-K25</f>
        <v>0</v>
      </c>
      <c r="L27" s="44">
        <f>L19-L25</f>
        <v>0</v>
      </c>
      <c r="M27" s="44">
        <f>M19-M25</f>
        <v>0</v>
      </c>
      <c r="N27" s="44">
        <f>N19-N25</f>
        <v>0</v>
      </c>
      <c r="P27" s="54">
        <f>SUM(C27:O27)</f>
        <v>2284.4000000000015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F5" sqref="F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22</v>
      </c>
      <c r="C2" s="68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23</v>
      </c>
      <c r="C2" s="69"/>
    </row>
    <row r="3" spans="2:3" ht="16.95" customHeight="1" x14ac:dyDescent="0.3">
      <c r="B3" s="34" t="s">
        <v>24</v>
      </c>
      <c r="C3" s="35">
        <f>'2022'!P26+'2023'!P27+'2024'!P28+'2025'!P27</f>
        <v>4234.2800000000188</v>
      </c>
    </row>
    <row r="4" spans="2:3" ht="16.95" customHeight="1" x14ac:dyDescent="0.3">
      <c r="B4" s="34" t="s">
        <v>26</v>
      </c>
      <c r="C4" s="36">
        <f>SUM('2022'!P12)+('2023'!P12)+('2024'!P12)+'2025'!P12</f>
        <v>46.5</v>
      </c>
    </row>
    <row r="5" spans="2:3" x14ac:dyDescent="0.3">
      <c r="B5" t="s">
        <v>44</v>
      </c>
      <c r="C5">
        <f>(27*2.08)-C4</f>
        <v>9.6600000000000037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131</vt:i4>
      </vt:variant>
    </vt:vector>
  </HeadingPairs>
  <TitlesOfParts>
    <vt:vector size="137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FRAIS_KM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NOMBRE_KM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2025-03-06T00:12:36Z</dcterms:modified>
</cp:coreProperties>
</file>