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1\Normal\"/>
    </mc:Choice>
  </mc:AlternateContent>
  <xr:revisionPtr revIDLastSave="0" documentId="13_ncr:20001_{7BDC48D1-D5E8-4140-8B51-B8A96AAEC9B0}" xr6:coauthVersionLast="47" xr6:coauthVersionMax="47" xr10:uidLastSave="{00000000-0000-0000-0000-000000000000}"/>
  <bookViews>
    <workbookView xWindow="-108" yWindow="-108" windowWidth="23256" windowHeight="14856" activeTab="4" xr2:uid="{00000000-000D-0000-FFFF-FFFF00000000}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'2025'!$B$14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'2025'!$B$17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'2023'!$B$30</definedName>
    <definedName name="FRAIS_KM" localSheetId="1">'2024'!$B$30</definedName>
    <definedName name="FRAIS_KM" localSheetId="2">'2025'!$B$33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'2023'!$B$29</definedName>
    <definedName name="NOMBRE_KM" localSheetId="1">'2024'!$B$29</definedName>
    <definedName name="NOMBRE_KM" localSheetId="2">'2025'!$B$32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'2023'!$B$27</definedName>
    <definedName name="SOLDE" localSheetId="1">'2024'!$B$27</definedName>
    <definedName name="SOLDE" localSheetId="2">'2025'!$B$30</definedName>
    <definedName name="SORTIES" localSheetId="0">'2023'!$B$21</definedName>
    <definedName name="SORTIES" localSheetId="1">'2024'!$B$21</definedName>
    <definedName name="SORTIES" localSheetId="2">'2025'!$B$21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 localSheetId="2">'2025'!$B$26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KM" localSheetId="2">'2025'!$B$27</definedName>
    <definedName name="SORTIES_FRAIS_PEE_AMUNDI" localSheetId="0">'2023'!#REF!</definedName>
    <definedName name="SORTIES_FRAIS_PEE_AMUNDI" localSheetId="1">'2024'!#REF!</definedName>
    <definedName name="SORTIES_FRAIS_PEE_AMUNDI" localSheetId="2">'2025'!$B$25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INTERESSEMENT_NET">'2025'!$B$23</definedName>
    <definedName name="SORTIES_INTERESSMENET_CSG_CRDS">'2025'!$B$24</definedName>
    <definedName name="SORTIES_SALAIRE_NET" localSheetId="0">'2023'!$B$22</definedName>
    <definedName name="SORTIES_SALAIRE_NET" localSheetId="1">'2024'!$B$22</definedName>
    <definedName name="SORTIES_SALAIRE_NET" localSheetId="2">'2025'!$B$22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'2024'!$B$19</definedName>
    <definedName name="TOTAL_ENTREES" localSheetId="2">'2025'!$B$19</definedName>
    <definedName name="TOTAL_ENTREES">#REF!</definedName>
    <definedName name="TOTAL_SORTIES" localSheetId="0">'2023'!$B$25</definedName>
    <definedName name="TOTAL_SORTIES" localSheetId="1">'2024'!$B$25</definedName>
    <definedName name="TOTAL_SORTIES" localSheetId="2">'2025'!$B$28</definedName>
    <definedName name="TOTAL_SORTIES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17" i="16" l="1"/>
  <c r="C5" i="13"/>
  <c r="C4" i="13"/>
  <c r="C24" i="16"/>
  <c r="P24" i="16" s="1"/>
  <c r="C23" i="16"/>
  <c r="C25" i="16" s="1"/>
  <c r="P25" i="16" s="1"/>
  <c r="P33" i="16"/>
  <c r="P32" i="16"/>
  <c r="M28" i="16"/>
  <c r="L28" i="16"/>
  <c r="K28" i="16"/>
  <c r="J28" i="16"/>
  <c r="G28" i="16"/>
  <c r="E28" i="16"/>
  <c r="D28" i="16"/>
  <c r="P27" i="16"/>
  <c r="N28" i="16"/>
  <c r="I28" i="16"/>
  <c r="H28" i="16"/>
  <c r="F28" i="16"/>
  <c r="P22" i="16"/>
  <c r="P18" i="16"/>
  <c r="N19" i="16"/>
  <c r="M19" i="16"/>
  <c r="L19" i="16"/>
  <c r="K19" i="16"/>
  <c r="J19" i="16"/>
  <c r="J30" i="16" s="1"/>
  <c r="I19" i="16"/>
  <c r="H19" i="16"/>
  <c r="H30" i="16" s="1"/>
  <c r="G19" i="16"/>
  <c r="F19" i="16"/>
  <c r="E19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30" i="15"/>
  <c r="P29" i="15"/>
  <c r="P32" i="15" s="1"/>
  <c r="N25" i="15"/>
  <c r="K25" i="15"/>
  <c r="F25" i="15"/>
  <c r="P24" i="15"/>
  <c r="N23" i="15"/>
  <c r="M23" i="15"/>
  <c r="M25" i="15" s="1"/>
  <c r="L23" i="15"/>
  <c r="L25" i="15" s="1"/>
  <c r="K23" i="15"/>
  <c r="J23" i="15"/>
  <c r="J25" i="15" s="1"/>
  <c r="I23" i="15"/>
  <c r="I25" i="15" s="1"/>
  <c r="H23" i="15"/>
  <c r="H25" i="15" s="1"/>
  <c r="G23" i="15"/>
  <c r="G25" i="15" s="1"/>
  <c r="F23" i="15"/>
  <c r="E23" i="15"/>
  <c r="E25" i="15" s="1"/>
  <c r="D23" i="15"/>
  <c r="D25" i="15" s="1"/>
  <c r="C23" i="15"/>
  <c r="P22" i="15"/>
  <c r="J19" i="15"/>
  <c r="J27" i="15" s="1"/>
  <c r="P18" i="15"/>
  <c r="N17" i="15"/>
  <c r="N19" i="15" s="1"/>
  <c r="N27" i="15" s="1"/>
  <c r="M17" i="15"/>
  <c r="M19" i="15" s="1"/>
  <c r="M27" i="15" s="1"/>
  <c r="L17" i="15"/>
  <c r="L19" i="15" s="1"/>
  <c r="L27" i="15" s="1"/>
  <c r="K17" i="15"/>
  <c r="K19" i="15" s="1"/>
  <c r="J17" i="15"/>
  <c r="I17" i="15"/>
  <c r="I19" i="15" s="1"/>
  <c r="I27" i="15" s="1"/>
  <c r="H17" i="15"/>
  <c r="H19" i="15" s="1"/>
  <c r="H27" i="15" s="1"/>
  <c r="G17" i="15"/>
  <c r="G19" i="15" s="1"/>
  <c r="F17" i="15"/>
  <c r="F19" i="15" s="1"/>
  <c r="E17" i="15"/>
  <c r="E19" i="15" s="1"/>
  <c r="E27" i="15" s="1"/>
  <c r="D17" i="15"/>
  <c r="D19" i="15" s="1"/>
  <c r="D27" i="15" s="1"/>
  <c r="C17" i="15"/>
  <c r="C19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0" i="14"/>
  <c r="P29" i="14"/>
  <c r="P32" i="14" s="1"/>
  <c r="H25" i="14"/>
  <c r="G25" i="14"/>
  <c r="F25" i="14"/>
  <c r="E25" i="14"/>
  <c r="D25" i="14"/>
  <c r="C25" i="14"/>
  <c r="P24" i="14"/>
  <c r="N23" i="14"/>
  <c r="N25" i="14" s="1"/>
  <c r="M23" i="14"/>
  <c r="M25" i="14" s="1"/>
  <c r="L23" i="14"/>
  <c r="L25" i="14" s="1"/>
  <c r="K23" i="14"/>
  <c r="K25" i="14" s="1"/>
  <c r="J23" i="14"/>
  <c r="J25" i="14" s="1"/>
  <c r="I23" i="14"/>
  <c r="I25" i="14" s="1"/>
  <c r="P22" i="14"/>
  <c r="H19" i="14"/>
  <c r="H27" i="14" s="1"/>
  <c r="G19" i="14"/>
  <c r="G27" i="14" s="1"/>
  <c r="F19" i="14"/>
  <c r="F27" i="14" s="1"/>
  <c r="E19" i="14"/>
  <c r="E27" i="14" s="1"/>
  <c r="D19" i="14"/>
  <c r="D27" i="14" s="1"/>
  <c r="C19" i="14"/>
  <c r="C27" i="14" s="1"/>
  <c r="P18" i="14"/>
  <c r="N17" i="14"/>
  <c r="N19" i="14" s="1"/>
  <c r="M17" i="14"/>
  <c r="M19" i="14" s="1"/>
  <c r="M27" i="14" s="1"/>
  <c r="L17" i="14"/>
  <c r="L19" i="14" s="1"/>
  <c r="K17" i="14"/>
  <c r="K19" i="14" s="1"/>
  <c r="K27" i="14" s="1"/>
  <c r="J17" i="14"/>
  <c r="J19" i="14" s="1"/>
  <c r="J27" i="14" s="1"/>
  <c r="I17" i="14"/>
  <c r="I19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M30" i="16" l="1"/>
  <c r="N27" i="14"/>
  <c r="K27" i="15"/>
  <c r="P23" i="15"/>
  <c r="P33" i="15"/>
  <c r="I27" i="14"/>
  <c r="P8" i="15"/>
  <c r="F27" i="15"/>
  <c r="P33" i="14"/>
  <c r="P8" i="14"/>
  <c r="C25" i="15"/>
  <c r="L30" i="16"/>
  <c r="N30" i="16"/>
  <c r="K30" i="16"/>
  <c r="E30" i="16"/>
  <c r="F30" i="16"/>
  <c r="G30" i="16"/>
  <c r="P8" i="16"/>
  <c r="I30" i="16"/>
  <c r="D19" i="16"/>
  <c r="D30" i="16" s="1"/>
  <c r="P25" i="14"/>
  <c r="G27" i="15"/>
  <c r="P25" i="15"/>
  <c r="L27" i="14"/>
  <c r="C27" i="15"/>
  <c r="P19" i="15"/>
  <c r="P27" i="14"/>
  <c r="P17" i="15"/>
  <c r="P23" i="14"/>
  <c r="P19" i="14"/>
  <c r="P17" i="14"/>
  <c r="P27" i="15" l="1"/>
  <c r="C26" i="16"/>
  <c r="P26" i="16" s="1"/>
  <c r="P23" i="16" l="1"/>
  <c r="C28" i="16"/>
  <c r="P28" i="16" s="1"/>
  <c r="C19" i="16"/>
  <c r="P17" i="16"/>
  <c r="C30" i="16" l="1"/>
  <c r="P30" i="16" s="1"/>
  <c r="C3" i="13" s="1"/>
  <c r="P19" i="16"/>
</calcChain>
</file>

<file path=xl/sharedStrings.xml><?xml version="1.0" encoding="utf-8"?>
<sst xmlns="http://schemas.openxmlformats.org/spreadsheetml/2006/main" count="125" uniqueCount="50">
  <si>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</si>
  <si>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</si>
  <si>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</si>
  <si>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</si>
  <si>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</si>
  <si>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</si>
  <si>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</si>
  <si>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</si>
  <si>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</si>
  <si>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</si>
  <si>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</si>
  <si>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</si>
  <si>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</si>
  <si>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</si>
  <si>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</si>
  <si>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</si>
  <si>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</si>
  <si>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</si>
  <si>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</si>
  <si>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</si>
  <si>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</si>
  <si>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</si>
  <si>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</si>
  <si>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</si>
  <si>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</si>
  <si>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</si>
  <si>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</si>
  <si>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</si>
  <si>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</si>
  <si>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</si>
  <si>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</si>
  <si>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</si>
  <si>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</si>
  <si>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</si>
  <si>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</si>
  <si>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</si>
  <si>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</si>
  <si>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</si>
  <si>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</si>
  <si>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</si>
  <si>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</si>
  <si>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(Juillt 2023)</t>
  </si>
  <si>
    <t>Frais KM annuel à payer</t>
  </si>
  <si>
    <t>Régularisation Frais KM</t>
  </si>
  <si>
    <t>TJM (Janvier 2024)</t>
  </si>
  <si>
    <t>Intéressement Net</t>
  </si>
  <si>
    <t>CSG/CRDS Intéressement</t>
  </si>
  <si>
    <t>Frais PEE Amundi</t>
  </si>
  <si>
    <t>Solde Congé</t>
  </si>
  <si>
    <t>TJM (Janvier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</si>
</sst>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FF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10.5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1" fillId="9" borderId="0" xfId="0" applyFont="1" applyFill="1" applyAlignment="1">
      <alignment vertical="center"/>
    </xf>
    <xf numFmtId="4" fontId="11" fillId="4" borderId="5" xfId="0" applyNumberFormat="1" applyFont="1" applyFill="1" applyBorder="1"/>
    <xf numFmtId="0" fontId="10" fillId="0" borderId="5" xfId="0" applyFont="1" applyBorder="1" applyProtection="1">
      <protection locked="0"/>
    </xf>
    <xf numFmtId="4" fontId="12" fillId="4" borderId="5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9" borderId="0" xfId="0" applyFont="1" applyFill="1" applyBorder="1" applyAlignment="1">
      <alignment vertical="center"/>
    </xf>
    <xf numFmtId="0" fontId="1" fillId="9" borderId="2" xfId="0" applyFont="1" applyFill="1" applyBorder="1" applyAlignment="1">
      <alignment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opLeftCell="B2" workbookViewId="0">
      <selection activeCell="P33" sqref="P33"/>
    </sheetView>
  </sheetViews>
  <sheetFormatPr baseColWidth="10" defaultRowHeight="14.4" x14ac:dyDescent="0.3"/>
  <cols>
    <col min="1" max="1" width="3" customWidth="1"/>
    <col min="2" max="2" width="28" customWidth="1"/>
    <col min="14" max="14" width="20.33203125" bestFit="1" customWidth="1"/>
    <col min="15" max="15" width="4" customWidth="1"/>
    <col min="16" max="16" width="11" style="48" customWidth="1"/>
  </cols>
  <sheetData>
    <row r="1" spans="2:16" x14ac:dyDescent="0.3">
      <c r="B1" s="68" t="s">
        <v>9</v>
      </c>
    </row>
    <row r="2" spans="2:16" x14ac:dyDescent="0.3">
      <c r="B2" s="6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114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>
        <v>20</v>
      </c>
      <c r="J7" s="37">
        <v>22</v>
      </c>
      <c r="K7" s="37">
        <v>19</v>
      </c>
      <c r="L7" s="37">
        <v>21</v>
      </c>
      <c r="M7" s="37">
        <v>21</v>
      </c>
      <c r="N7" s="37">
        <v>20</v>
      </c>
      <c r="O7" s="36"/>
      <c r="P7" s="57">
        <f>SUM(C7:N7)</f>
        <v>123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1</v>
      </c>
      <c r="J8" s="63">
        <f t="shared" si="0"/>
        <v>3</v>
      </c>
      <c r="K8" s="63">
        <f t="shared" si="0"/>
        <v>0</v>
      </c>
      <c r="L8" s="63">
        <f t="shared" si="0"/>
        <v>2</v>
      </c>
      <c r="M8" s="63">
        <f t="shared" si="0"/>
        <v>2</v>
      </c>
      <c r="N8" s="63">
        <f t="shared" si="0"/>
        <v>1</v>
      </c>
      <c r="O8" s="36"/>
      <c r="P8" s="57">
        <f>SUM(C8:N8)</f>
        <v>9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>
        <v>20</v>
      </c>
      <c r="J11" s="11">
        <v>22</v>
      </c>
      <c r="K11" s="11">
        <v>19</v>
      </c>
      <c r="L11" s="11">
        <v>21</v>
      </c>
      <c r="M11" s="11">
        <v>21</v>
      </c>
      <c r="N11" s="11">
        <v>20</v>
      </c>
      <c r="P11" s="58">
        <f>SUM(C11:N11)</f>
        <v>123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>
        <v>2</v>
      </c>
      <c r="L12" s="12">
        <v>1</v>
      </c>
      <c r="M12" s="12"/>
      <c r="N12" s="12"/>
      <c r="P12" s="58">
        <f>SUM(C12:N12)</f>
        <v>3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>
        <f>I11*Params!$C$5*(1-Params!$C$3)-Params!$C$4</f>
        <v>9493</v>
      </c>
      <c r="J17" s="10">
        <f>J11*Params!$C$5*(1-Params!$C$3)-Params!$C$4</f>
        <v>10449.800000000001</v>
      </c>
      <c r="K17" s="10">
        <f>K11*Params!$C$5*(1-Params!$C$3)-Params!$C$4</f>
        <v>9014.6</v>
      </c>
      <c r="L17" s="10">
        <f>L11*Params!$C$5*(1-Params!$C$3)-Params!$C$4</f>
        <v>9971.4</v>
      </c>
      <c r="M17" s="10">
        <f>M11*Params!$C$5*(1-Params!$C$3)-Params!$C$4</f>
        <v>9971.4</v>
      </c>
      <c r="N17" s="10">
        <f>N11*Params!$C$5*(1-Params!$C$3)-Params!$C$4</f>
        <v>9493</v>
      </c>
      <c r="O17" s="4"/>
      <c r="P17" s="41">
        <f>SUM(C17:N17)</f>
        <v>58393.200000000004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9493</v>
      </c>
      <c r="J19" s="28">
        <f t="shared" si="1"/>
        <v>10449.800000000001</v>
      </c>
      <c r="K19" s="28">
        <f t="shared" si="1"/>
        <v>9014.6</v>
      </c>
      <c r="L19" s="28">
        <f t="shared" si="1"/>
        <v>9971.4</v>
      </c>
      <c r="M19" s="28">
        <f t="shared" si="1"/>
        <v>9971.4</v>
      </c>
      <c r="N19" s="28">
        <f t="shared" si="1"/>
        <v>9493</v>
      </c>
      <c r="O19" s="5"/>
      <c r="P19" s="42">
        <f>SUM(C19:O19)</f>
        <v>58393.200000000004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>
        <v>5401.22</v>
      </c>
      <c r="J22" s="10">
        <v>5398.95</v>
      </c>
      <c r="K22" s="10">
        <v>5398.95</v>
      </c>
      <c r="L22" s="10">
        <v>5398.95</v>
      </c>
      <c r="M22" s="10">
        <v>5398.95</v>
      </c>
      <c r="N22" s="10">
        <v>5398.95</v>
      </c>
      <c r="O22" s="4"/>
      <c r="P22" s="43">
        <f>SUM(C22:N22)</f>
        <v>32395.97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>
        <f>1111.72+1889.02</f>
        <v>3000.74</v>
      </c>
      <c r="J23" s="10">
        <f>1113.99+1890.11</f>
        <v>3004.1</v>
      </c>
      <c r="K23" s="10">
        <f>1113.99+1890.11</f>
        <v>3004.1</v>
      </c>
      <c r="L23" s="10">
        <f>1113.99+1895.36</f>
        <v>3009.35</v>
      </c>
      <c r="M23" s="10">
        <f>1113.99+1892.75</f>
        <v>3006.74</v>
      </c>
      <c r="N23" s="10">
        <f>1113.99+1890.11</f>
        <v>3004.1</v>
      </c>
      <c r="O23" s="4"/>
      <c r="P23" s="43">
        <f>SUM(C23:N23)</f>
        <v>18029.13</v>
      </c>
    </row>
    <row r="24" spans="2:16" x14ac:dyDescent="0.3">
      <c r="B24" s="55" t="s">
        <v>40</v>
      </c>
      <c r="C24" s="10"/>
      <c r="D24" s="10"/>
      <c r="E24" s="10"/>
      <c r="F24" s="10"/>
      <c r="G24" s="10"/>
      <c r="H24" s="10"/>
      <c r="I24" s="10">
        <v>279.52</v>
      </c>
      <c r="J24" s="10">
        <v>297.47199999999998</v>
      </c>
      <c r="K24" s="10">
        <v>270.54399999999998</v>
      </c>
      <c r="L24" s="10">
        <v>288.49599999999998</v>
      </c>
      <c r="M24" s="10">
        <v>288.49599999999998</v>
      </c>
      <c r="N24" s="10">
        <v>538.54999999999995</v>
      </c>
      <c r="O24" s="4"/>
      <c r="P24" s="43">
        <f>SUM(C24:N24)</f>
        <v>1963.0779999999997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8681.48</v>
      </c>
      <c r="J25" s="44">
        <f t="shared" si="2"/>
        <v>8700.521999999999</v>
      </c>
      <c r="K25" s="44">
        <f t="shared" si="2"/>
        <v>8673.5939999999991</v>
      </c>
      <c r="L25" s="44">
        <f t="shared" si="2"/>
        <v>8696.7959999999985</v>
      </c>
      <c r="M25" s="44">
        <f t="shared" si="2"/>
        <v>8694.1859999999979</v>
      </c>
      <c r="N25" s="44">
        <f t="shared" si="2"/>
        <v>8941.5999999999985</v>
      </c>
      <c r="O25" s="4"/>
      <c r="P25" s="60">
        <f>SUM(C25:N25)</f>
        <v>52388.177999999993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811.52000000000044</v>
      </c>
      <c r="J27" s="47">
        <f t="shared" si="3"/>
        <v>1749.2780000000021</v>
      </c>
      <c r="K27" s="47">
        <f t="shared" si="3"/>
        <v>341.00600000000122</v>
      </c>
      <c r="L27" s="47">
        <f t="shared" si="3"/>
        <v>1274.6040000000012</v>
      </c>
      <c r="M27" s="47">
        <f t="shared" si="3"/>
        <v>1277.2140000000018</v>
      </c>
      <c r="N27" s="47">
        <f t="shared" si="3"/>
        <v>551.40000000000146</v>
      </c>
      <c r="P27" s="59">
        <f>SUM(C27:O27)</f>
        <v>6005.0220000000081</v>
      </c>
    </row>
    <row r="29" spans="2:16" x14ac:dyDescent="0.3">
      <c r="B29" s="62" t="s">
        <v>37</v>
      </c>
      <c r="C29" s="54"/>
      <c r="D29" s="54"/>
      <c r="E29" s="54"/>
      <c r="F29" s="54"/>
      <c r="G29" s="54"/>
      <c r="H29" s="54"/>
      <c r="I29" s="54">
        <v>480</v>
      </c>
      <c r="J29" s="54">
        <v>528</v>
      </c>
      <c r="K29" s="54">
        <v>456</v>
      </c>
      <c r="L29" s="54">
        <v>504</v>
      </c>
      <c r="M29" s="54">
        <v>504</v>
      </c>
      <c r="N29" s="54">
        <v>480</v>
      </c>
      <c r="P29" s="61">
        <f>SUM(C29:N29)</f>
        <v>2952</v>
      </c>
    </row>
    <row r="30" spans="2:16" x14ac:dyDescent="0.3">
      <c r="B30" s="62" t="s">
        <v>38</v>
      </c>
      <c r="C30" s="54"/>
      <c r="D30" s="54"/>
      <c r="E30" s="54"/>
      <c r="F30" s="54"/>
      <c r="G30" s="54"/>
      <c r="H30" s="54"/>
      <c r="I30" s="54">
        <v>279.52</v>
      </c>
      <c r="J30" s="54">
        <v>297.47199999999998</v>
      </c>
      <c r="K30" s="54">
        <v>270.54399999999998</v>
      </c>
      <c r="L30" s="54">
        <v>288.49599999999998</v>
      </c>
      <c r="M30" s="54">
        <v>288.49599999999998</v>
      </c>
      <c r="N30" s="54">
        <v>179.52</v>
      </c>
      <c r="P30" s="61">
        <f>SUM(C30:N30)</f>
        <v>1604.0479999999998</v>
      </c>
    </row>
    <row r="32" spans="2:16" x14ac:dyDescent="0.3">
      <c r="N32" s="54" t="s">
        <v>42</v>
      </c>
      <c r="P32" s="61">
        <f>P29*0.665</f>
        <v>1963.0800000000002</v>
      </c>
    </row>
    <row r="33" spans="14:16" x14ac:dyDescent="0.3">
      <c r="N33" s="54" t="s">
        <v>43</v>
      </c>
      <c r="P33" s="61">
        <f>P32-P30</f>
        <v>359.03200000000038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C3D6D-93FE-4A86-8608-E232F74BEE0A}">
  <dimension ref="B1:P33"/>
  <sheetViews>
    <sheetView topLeftCell="A4" workbookViewId="0">
      <selection activeCell="M27" sqref="M27:N27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68" t="s">
        <v>9</v>
      </c>
    </row>
    <row r="2" spans="2:16" x14ac:dyDescent="0.3">
      <c r="B2" s="6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20</v>
      </c>
      <c r="D6" s="35">
        <v>20</v>
      </c>
      <c r="E6" s="35">
        <v>20</v>
      </c>
      <c r="F6" s="37">
        <v>20</v>
      </c>
      <c r="G6" s="37">
        <v>20</v>
      </c>
      <c r="H6" s="37">
        <v>20</v>
      </c>
      <c r="I6" s="37">
        <v>20</v>
      </c>
      <c r="J6" s="37">
        <v>20</v>
      </c>
      <c r="K6" s="37">
        <v>20</v>
      </c>
      <c r="L6" s="37">
        <v>20</v>
      </c>
      <c r="M6" s="37">
        <v>20</v>
      </c>
      <c r="N6" s="37">
        <v>20</v>
      </c>
      <c r="O6" s="36"/>
      <c r="P6" s="57">
        <f>SUM(C6:N6)</f>
        <v>240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21</v>
      </c>
      <c r="G7" s="37">
        <v>16</v>
      </c>
      <c r="H7" s="37">
        <v>20</v>
      </c>
      <c r="I7" s="37">
        <v>23</v>
      </c>
      <c r="J7" s="37">
        <v>21</v>
      </c>
      <c r="K7" s="37">
        <v>21</v>
      </c>
      <c r="L7" s="37">
        <v>23</v>
      </c>
      <c r="M7" s="37">
        <v>19</v>
      </c>
      <c r="N7" s="37">
        <v>20</v>
      </c>
      <c r="O7" s="36"/>
      <c r="P7" s="57">
        <f>SUM(C7:N7)</f>
        <v>248</v>
      </c>
    </row>
    <row r="8" spans="2:16" x14ac:dyDescent="0.3">
      <c r="B8" s="18" t="s">
        <v>22</v>
      </c>
      <c r="C8" s="63">
        <f t="shared" ref="C8:N8" si="0">C7-C6</f>
        <v>2</v>
      </c>
      <c r="D8" s="63">
        <f t="shared" si="0"/>
        <v>1</v>
      </c>
      <c r="E8" s="63">
        <f t="shared" si="0"/>
        <v>1</v>
      </c>
      <c r="F8" s="63">
        <f t="shared" si="0"/>
        <v>1</v>
      </c>
      <c r="G8" s="63">
        <f t="shared" si="0"/>
        <v>-4</v>
      </c>
      <c r="H8" s="63">
        <f t="shared" si="0"/>
        <v>0</v>
      </c>
      <c r="I8" s="63">
        <f t="shared" si="0"/>
        <v>3</v>
      </c>
      <c r="J8" s="63">
        <f t="shared" si="0"/>
        <v>1</v>
      </c>
      <c r="K8" s="63">
        <f t="shared" si="0"/>
        <v>1</v>
      </c>
      <c r="L8" s="63">
        <f t="shared" si="0"/>
        <v>3</v>
      </c>
      <c r="M8" s="63">
        <f t="shared" si="0"/>
        <v>-1</v>
      </c>
      <c r="N8" s="63">
        <f t="shared" si="0"/>
        <v>0</v>
      </c>
      <c r="O8" s="36"/>
      <c r="P8" s="57">
        <f>SUM(C8:N8)</f>
        <v>8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21</v>
      </c>
      <c r="G11" s="11">
        <v>16</v>
      </c>
      <c r="H11" s="11">
        <v>20</v>
      </c>
      <c r="I11" s="11">
        <v>23</v>
      </c>
      <c r="J11" s="11">
        <v>21</v>
      </c>
      <c r="K11" s="11">
        <v>21</v>
      </c>
      <c r="L11" s="11">
        <v>23</v>
      </c>
      <c r="M11" s="11">
        <v>19</v>
      </c>
      <c r="N11" s="11">
        <v>20</v>
      </c>
      <c r="P11" s="58">
        <f>SUM(C11:N11)</f>
        <v>248</v>
      </c>
    </row>
    <row r="12" spans="2:16" x14ac:dyDescent="0.3">
      <c r="B12" s="9" t="s">
        <v>16</v>
      </c>
      <c r="C12" s="12"/>
      <c r="D12" s="12"/>
      <c r="E12" s="12"/>
      <c r="F12" s="12"/>
      <c r="G12" s="12">
        <v>3</v>
      </c>
      <c r="H12" s="12"/>
      <c r="I12" s="12"/>
      <c r="J12" s="12"/>
      <c r="K12" s="12"/>
      <c r="L12" s="12"/>
      <c r="M12" s="12"/>
      <c r="N12" s="12">
        <v>1</v>
      </c>
      <c r="P12" s="58">
        <f>SUM(C12:N12)</f>
        <v>4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11461.800000000001</v>
      </c>
      <c r="D17" s="10">
        <f>D11*Params!$C$6*(1-Params!$C$3)-Params!$C$4</f>
        <v>10937.4</v>
      </c>
      <c r="E17" s="10">
        <f>E11*Params!$C$6*(1-Params!$C$3)-Params!$C$4</f>
        <v>10937.4</v>
      </c>
      <c r="F17" s="10">
        <f>F11*Params!$C$6*(1-Params!$C$3)-Params!$C$4</f>
        <v>10937.4</v>
      </c>
      <c r="G17" s="10">
        <f>G11*Params!$C$6*(1-Params!$C$3)-Params!$C$4</f>
        <v>8315.4</v>
      </c>
      <c r="H17" s="10">
        <f>H11*Params!$C$6*(1-Params!$C$3)-Params!$C$4</f>
        <v>10413</v>
      </c>
      <c r="I17" s="10">
        <f>I11*Params!$C$6*(1-Params!$C$3)-Params!$C$4</f>
        <v>11986.2</v>
      </c>
      <c r="J17" s="10">
        <f>J11*Params!$C$6*(1-Params!$C$3)-Params!$C$4</f>
        <v>10937.4</v>
      </c>
      <c r="K17" s="10">
        <f>K11*Params!$C$6*(1-Params!$C$3)-Params!$C$4</f>
        <v>10937.4</v>
      </c>
      <c r="L17" s="10">
        <f>L11*Params!$C$6*(1-Params!$C$3)-Params!$C$4</f>
        <v>11986.2</v>
      </c>
      <c r="M17" s="10">
        <f>M11*Params!$C$6*(1-Params!$C$3)-Params!$C$4</f>
        <v>9888.6</v>
      </c>
      <c r="N17" s="10">
        <f>N11*Params!$C$6*(1-Params!$C$3)-Params!$C$4</f>
        <v>10413</v>
      </c>
      <c r="O17" s="4"/>
      <c r="P17" s="41">
        <f>SUM(C17:N17)</f>
        <v>129151.2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11461.800000000001</v>
      </c>
      <c r="D19" s="28">
        <f t="shared" si="1"/>
        <v>10937.4</v>
      </c>
      <c r="E19" s="28">
        <f t="shared" si="1"/>
        <v>10937.4</v>
      </c>
      <c r="F19" s="28">
        <f t="shared" si="1"/>
        <v>10937.4</v>
      </c>
      <c r="G19" s="28">
        <f t="shared" si="1"/>
        <v>8315.4</v>
      </c>
      <c r="H19" s="28">
        <f t="shared" si="1"/>
        <v>10413</v>
      </c>
      <c r="I19" s="28">
        <f t="shared" si="1"/>
        <v>11986.2</v>
      </c>
      <c r="J19" s="28">
        <f t="shared" si="1"/>
        <v>10937.4</v>
      </c>
      <c r="K19" s="28">
        <f t="shared" si="1"/>
        <v>10937.4</v>
      </c>
      <c r="L19" s="28">
        <f t="shared" si="1"/>
        <v>11986.2</v>
      </c>
      <c r="M19" s="28">
        <f t="shared" si="1"/>
        <v>9888.6</v>
      </c>
      <c r="N19" s="28">
        <f t="shared" si="1"/>
        <v>10413</v>
      </c>
      <c r="O19" s="5"/>
      <c r="P19" s="42">
        <f>SUM(C19:O19)</f>
        <v>129151.2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6034.95</v>
      </c>
      <c r="D22" s="10">
        <v>6034.95</v>
      </c>
      <c r="E22" s="10">
        <v>6034.95</v>
      </c>
      <c r="F22" s="10">
        <v>6034.95</v>
      </c>
      <c r="G22" s="10">
        <v>6034.95</v>
      </c>
      <c r="H22" s="10">
        <v>6034.95</v>
      </c>
      <c r="I22" s="10">
        <v>6034.95</v>
      </c>
      <c r="J22" s="10">
        <v>6034.95</v>
      </c>
      <c r="K22" s="10">
        <v>6034.95</v>
      </c>
      <c r="L22" s="10">
        <v>6034.95</v>
      </c>
      <c r="M22" s="10">
        <v>6034.95</v>
      </c>
      <c r="N22" s="10">
        <v>6034.95</v>
      </c>
      <c r="O22" s="4"/>
      <c r="P22" s="43">
        <f>SUM(C22:N22)</f>
        <v>72419.39999999998</v>
      </c>
    </row>
    <row r="23" spans="2:16" x14ac:dyDescent="0.3">
      <c r="B23" s="9" t="s">
        <v>8</v>
      </c>
      <c r="C23" s="10">
        <f>1330.63+2549.09</f>
        <v>3879.7200000000003</v>
      </c>
      <c r="D23" s="10">
        <f>1330.63+2549.09</f>
        <v>3879.7200000000003</v>
      </c>
      <c r="E23" s="10">
        <f>1330.63+2549.09</f>
        <v>3879.7200000000003</v>
      </c>
      <c r="F23" s="10">
        <f>1330.63+2549.09</f>
        <v>3879.7200000000003</v>
      </c>
      <c r="G23" s="10">
        <f>1330.63+2576.71</f>
        <v>3907.34</v>
      </c>
      <c r="H23" s="10">
        <f>1330.63+2580.86</f>
        <v>3911.4900000000002</v>
      </c>
      <c r="I23" s="10">
        <f t="shared" ref="I23:N23" si="2">1330.63+2579.77</f>
        <v>3910.4</v>
      </c>
      <c r="J23" s="10">
        <f t="shared" si="2"/>
        <v>3910.4</v>
      </c>
      <c r="K23" s="10">
        <f t="shared" si="2"/>
        <v>3910.4</v>
      </c>
      <c r="L23" s="10">
        <f t="shared" si="2"/>
        <v>3910.4</v>
      </c>
      <c r="M23" s="10">
        <f t="shared" si="2"/>
        <v>3910.4</v>
      </c>
      <c r="N23" s="10">
        <f t="shared" si="2"/>
        <v>3910.4</v>
      </c>
      <c r="O23" s="4"/>
      <c r="P23" s="43">
        <f>SUM(C23:N23)</f>
        <v>46800.110000000008</v>
      </c>
    </row>
    <row r="24" spans="2:16" x14ac:dyDescent="0.3">
      <c r="B24" s="55" t="s">
        <v>40</v>
      </c>
      <c r="C24" s="10">
        <v>379.75200000000001</v>
      </c>
      <c r="D24" s="10">
        <v>367.036</v>
      </c>
      <c r="E24" s="10">
        <v>367.036</v>
      </c>
      <c r="F24" s="10">
        <v>367.036</v>
      </c>
      <c r="G24" s="10">
        <v>303.45600000000002</v>
      </c>
      <c r="H24" s="10">
        <v>354.32</v>
      </c>
      <c r="I24" s="10">
        <v>392.46800000000002</v>
      </c>
      <c r="J24" s="10">
        <v>367.036</v>
      </c>
      <c r="K24" s="10">
        <v>367.036</v>
      </c>
      <c r="L24" s="10">
        <v>392.46800000000002</v>
      </c>
      <c r="M24" s="10">
        <v>341.60399999999998</v>
      </c>
      <c r="N24" s="10">
        <v>598.6</v>
      </c>
      <c r="O24" s="4"/>
      <c r="P24" s="43">
        <f>SUM(C24:N24)</f>
        <v>4597.848</v>
      </c>
    </row>
    <row r="25" spans="2:16" x14ac:dyDescent="0.3">
      <c r="B25" s="8" t="s">
        <v>3</v>
      </c>
      <c r="C25" s="44">
        <f t="shared" ref="C25:N25" si="3">SUM(C22:C24)</f>
        <v>10294.422</v>
      </c>
      <c r="D25" s="44">
        <f t="shared" si="3"/>
        <v>10281.706</v>
      </c>
      <c r="E25" s="44">
        <f t="shared" si="3"/>
        <v>10281.706</v>
      </c>
      <c r="F25" s="44">
        <f t="shared" si="3"/>
        <v>10281.706</v>
      </c>
      <c r="G25" s="44">
        <f t="shared" si="3"/>
        <v>10245.746000000001</v>
      </c>
      <c r="H25" s="44">
        <f t="shared" si="3"/>
        <v>10300.76</v>
      </c>
      <c r="I25" s="44">
        <f t="shared" si="3"/>
        <v>10337.818000000001</v>
      </c>
      <c r="J25" s="44">
        <f t="shared" si="3"/>
        <v>10312.386</v>
      </c>
      <c r="K25" s="44">
        <f t="shared" si="3"/>
        <v>10312.386</v>
      </c>
      <c r="L25" s="44">
        <f t="shared" si="3"/>
        <v>10337.818000000001</v>
      </c>
      <c r="M25" s="44">
        <f t="shared" si="3"/>
        <v>10286.954</v>
      </c>
      <c r="N25" s="44">
        <f t="shared" si="3"/>
        <v>10543.95</v>
      </c>
      <c r="O25" s="4"/>
      <c r="P25" s="60">
        <f>SUM(C25:N25)</f>
        <v>123817.35799999999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4">C19-C25</f>
        <v>1167.3780000000006</v>
      </c>
      <c r="D27" s="47">
        <f t="shared" si="4"/>
        <v>655.69399999999951</v>
      </c>
      <c r="E27" s="47">
        <f t="shared" si="4"/>
        <v>655.69399999999951</v>
      </c>
      <c r="F27" s="47">
        <f t="shared" si="4"/>
        <v>655.69399999999951</v>
      </c>
      <c r="G27" s="47">
        <f t="shared" si="4"/>
        <v>-1930.3460000000014</v>
      </c>
      <c r="H27" s="47">
        <f t="shared" si="4"/>
        <v>112.23999999999978</v>
      </c>
      <c r="I27" s="47">
        <f t="shared" si="4"/>
        <v>1648.3819999999996</v>
      </c>
      <c r="J27" s="47">
        <f t="shared" si="4"/>
        <v>625.01399999999921</v>
      </c>
      <c r="K27" s="47">
        <f t="shared" si="4"/>
        <v>625.01399999999921</v>
      </c>
      <c r="L27" s="47">
        <f t="shared" si="4"/>
        <v>1648.3819999999996</v>
      </c>
      <c r="M27" s="47">
        <f t="shared" si="4"/>
        <v>-398.35399999999936</v>
      </c>
      <c r="N27" s="47">
        <f t="shared" si="4"/>
        <v>-130.95000000000073</v>
      </c>
      <c r="P27" s="59">
        <f>SUM(C27:O27)</f>
        <v>5333.8419999999951</v>
      </c>
    </row>
    <row r="29" spans="2:16" x14ac:dyDescent="0.3">
      <c r="B29" s="62" t="s">
        <v>37</v>
      </c>
      <c r="C29" s="54">
        <v>748</v>
      </c>
      <c r="D29" s="54">
        <v>714</v>
      </c>
      <c r="E29" s="54">
        <v>714</v>
      </c>
      <c r="F29" s="54">
        <v>714</v>
      </c>
      <c r="G29" s="54">
        <v>544</v>
      </c>
      <c r="H29" s="54">
        <v>680</v>
      </c>
      <c r="I29" s="54">
        <v>782</v>
      </c>
      <c r="J29" s="54">
        <v>714</v>
      </c>
      <c r="K29" s="54">
        <v>714</v>
      </c>
      <c r="L29" s="54">
        <v>782</v>
      </c>
      <c r="M29" s="54">
        <v>646</v>
      </c>
      <c r="N29" s="54">
        <v>680</v>
      </c>
      <c r="P29" s="61">
        <f>SUM(C29:N29)</f>
        <v>8432</v>
      </c>
    </row>
    <row r="30" spans="2:16" x14ac:dyDescent="0.3">
      <c r="B30" s="62" t="s">
        <v>38</v>
      </c>
      <c r="C30" s="54">
        <v>379.75200000000001</v>
      </c>
      <c r="D30" s="54">
        <v>367.036</v>
      </c>
      <c r="E30" s="54">
        <v>367.036</v>
      </c>
      <c r="F30" s="54">
        <v>367.036</v>
      </c>
      <c r="G30" s="54">
        <v>303.45600000000002</v>
      </c>
      <c r="H30" s="54">
        <v>354.32</v>
      </c>
      <c r="I30" s="54">
        <v>392.46800000000002</v>
      </c>
      <c r="J30" s="54">
        <v>367.036</v>
      </c>
      <c r="K30" s="54">
        <v>367.036</v>
      </c>
      <c r="L30" s="54">
        <v>392.46800000000002</v>
      </c>
      <c r="M30" s="54">
        <v>341.60399999999998</v>
      </c>
      <c r="N30" s="54">
        <v>598.6</v>
      </c>
      <c r="P30" s="61">
        <f>SUM(C30:N30)</f>
        <v>4597.848</v>
      </c>
    </row>
    <row r="32" spans="2:16" x14ac:dyDescent="0.3">
      <c r="N32" s="54" t="s">
        <v>42</v>
      </c>
      <c r="P32" s="54">
        <f>(P29*0.374)+1457</f>
        <v>4610.5680000000002</v>
      </c>
    </row>
    <row r="33" spans="14:16" x14ac:dyDescent="0.3">
      <c r="N33" s="54" t="s">
        <v>43</v>
      </c>
      <c r="P33" s="54">
        <f>P32-P30</f>
        <v>12.720000000000255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02145-C7D3-4C0B-A2F8-FC0D0F345449}">
  <dimension ref="B1:P33"/>
  <sheetViews>
    <sheetView topLeftCell="A4" workbookViewId="0">
      <selection activeCell="C18" sqref="C18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68" t="s">
        <v>9</v>
      </c>
    </row>
    <row r="2" spans="2:16" x14ac:dyDescent="0.3">
      <c r="B2" s="6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20</v>
      </c>
      <c r="D6" s="35"/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20</v>
      </c>
    </row>
    <row r="7" spans="2:16" x14ac:dyDescent="0.3">
      <c r="B7" s="9" t="s">
        <v>21</v>
      </c>
      <c r="C7" s="37">
        <v>22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22</v>
      </c>
    </row>
    <row r="8" spans="2:16" x14ac:dyDescent="0.3">
      <c r="B8" s="18" t="s">
        <v>22</v>
      </c>
      <c r="C8" s="63">
        <f t="shared" ref="C8:N8" si="0">C7-C6</f>
        <v>2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2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22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C11*Params!$C$7*(1-Params!$C$3)-Params!$C$4</f>
        <v>12069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12069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12069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12069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5213.87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5213.87</v>
      </c>
    </row>
    <row r="23" spans="2:16" x14ac:dyDescent="0.3">
      <c r="B23" s="9" t="s">
        <v>45</v>
      </c>
      <c r="C23" s="65">
        <f>(6462.87/5)*(1-9.7%)</f>
        <v>1167.1943220000001</v>
      </c>
      <c r="D23" s="10"/>
      <c r="E23" s="10"/>
      <c r="F23" s="65"/>
      <c r="G23" s="65"/>
      <c r="H23" s="65"/>
      <c r="I23" s="65"/>
      <c r="J23" s="65"/>
      <c r="K23" s="65"/>
      <c r="L23" s="65"/>
      <c r="M23" s="65"/>
      <c r="N23" s="65"/>
      <c r="O23" s="4"/>
      <c r="P23" s="43">
        <f t="shared" ref="P23:P25" si="2">SUM(C23:N23)</f>
        <v>1167.1943220000001</v>
      </c>
    </row>
    <row r="24" spans="2:16" x14ac:dyDescent="0.3">
      <c r="B24" s="66" t="s">
        <v>46</v>
      </c>
      <c r="C24" s="67">
        <f>(6462.87/5)*9.7%</f>
        <v>125.379678</v>
      </c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4"/>
      <c r="P24" s="43">
        <f t="shared" si="2"/>
        <v>125.379678</v>
      </c>
    </row>
    <row r="25" spans="2:16" x14ac:dyDescent="0.3">
      <c r="B25" s="66" t="s">
        <v>47</v>
      </c>
      <c r="C25" s="67">
        <f>C23*0.02</f>
        <v>23.343886440000002</v>
      </c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4"/>
      <c r="P25" s="43">
        <f t="shared" si="2"/>
        <v>23.343886440000002</v>
      </c>
    </row>
    <row r="26" spans="2:16" x14ac:dyDescent="0.3">
      <c r="B26" s="9" t="s">
        <v>8</v>
      </c>
      <c r="C26" s="10">
        <f>1249+2719.31</f>
        <v>3968.31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4"/>
      <c r="P26" s="43">
        <f>SUM(C26:N26)</f>
        <v>3968.31</v>
      </c>
    </row>
    <row r="27" spans="2:16" x14ac:dyDescent="0.3">
      <c r="B27" s="55" t="s">
        <v>40</v>
      </c>
      <c r="C27" s="10">
        <v>379.75200000000001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4"/>
      <c r="P27" s="43">
        <f>SUM(C27:N27)</f>
        <v>379.75200000000001</v>
      </c>
    </row>
    <row r="28" spans="2:16" x14ac:dyDescent="0.3">
      <c r="B28" s="8" t="s">
        <v>3</v>
      </c>
      <c r="C28" s="44">
        <f t="shared" ref="C28:N28" si="3">SUM(C22:C27)</f>
        <v>10877.849886440001</v>
      </c>
      <c r="D28" s="44">
        <f t="shared" si="3"/>
        <v>0</v>
      </c>
      <c r="E28" s="44">
        <f t="shared" si="3"/>
        <v>0</v>
      </c>
      <c r="F28" s="44">
        <f t="shared" si="3"/>
        <v>0</v>
      </c>
      <c r="G28" s="44">
        <f t="shared" si="3"/>
        <v>0</v>
      </c>
      <c r="H28" s="44">
        <f t="shared" si="3"/>
        <v>0</v>
      </c>
      <c r="I28" s="44">
        <f t="shared" si="3"/>
        <v>0</v>
      </c>
      <c r="J28" s="44">
        <f t="shared" si="3"/>
        <v>0</v>
      </c>
      <c r="K28" s="44">
        <f t="shared" si="3"/>
        <v>0</v>
      </c>
      <c r="L28" s="44">
        <f t="shared" si="3"/>
        <v>0</v>
      </c>
      <c r="M28" s="44">
        <f t="shared" si="3"/>
        <v>0</v>
      </c>
      <c r="N28" s="44">
        <f t="shared" si="3"/>
        <v>0</v>
      </c>
      <c r="O28" s="4"/>
      <c r="P28" s="60">
        <f>SUM(C28:N28)</f>
        <v>10877.849886440001</v>
      </c>
    </row>
    <row r="29" spans="2:16" x14ac:dyDescent="0.3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3">
      <c r="B30" s="46" t="s">
        <v>36</v>
      </c>
      <c r="C30" s="47">
        <f t="shared" ref="C30:N30" si="4">C19-C28</f>
        <v>1191.1501135599992</v>
      </c>
      <c r="D30" s="47">
        <f t="shared" si="4"/>
        <v>0</v>
      </c>
      <c r="E30" s="47">
        <f t="shared" si="4"/>
        <v>0</v>
      </c>
      <c r="F30" s="47">
        <f t="shared" si="4"/>
        <v>0</v>
      </c>
      <c r="G30" s="47">
        <f t="shared" si="4"/>
        <v>0</v>
      </c>
      <c r="H30" s="47">
        <f t="shared" si="4"/>
        <v>0</v>
      </c>
      <c r="I30" s="47">
        <f t="shared" si="4"/>
        <v>0</v>
      </c>
      <c r="J30" s="47">
        <f t="shared" si="4"/>
        <v>0</v>
      </c>
      <c r="K30" s="47">
        <f t="shared" si="4"/>
        <v>0</v>
      </c>
      <c r="L30" s="47">
        <f t="shared" si="4"/>
        <v>0</v>
      </c>
      <c r="M30" s="47">
        <f t="shared" si="4"/>
        <v>0</v>
      </c>
      <c r="N30" s="47">
        <f t="shared" si="4"/>
        <v>0</v>
      </c>
      <c r="P30" s="59">
        <f>SUM(C30:O30)</f>
        <v>1191.1501135599992</v>
      </c>
    </row>
    <row r="32" spans="2:16" x14ac:dyDescent="0.3">
      <c r="B32" s="62" t="s">
        <v>37</v>
      </c>
      <c r="C32" s="54">
        <v>748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P32" s="61">
        <f>SUM(C32:N32)</f>
        <v>748</v>
      </c>
    </row>
    <row r="33" spans="2:16" x14ac:dyDescent="0.3">
      <c r="B33" s="62" t="s">
        <v>38</v>
      </c>
      <c r="C33" s="54">
        <v>379.75200000000001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P33" s="61">
        <f>SUM(C33:N33)</f>
        <v>379.75200000000001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7"/>
  <sheetViews>
    <sheetView workbookViewId="0">
      <selection activeCell="C8" sqref="C8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0" t="s">
        <v>23</v>
      </c>
      <c r="C2" s="71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520</v>
      </c>
    </row>
    <row r="6" spans="2:3" ht="29.25" customHeight="1" x14ac:dyDescent="0.3">
      <c r="B6" s="64" t="s">
        <v>44</v>
      </c>
      <c r="C6" s="33">
        <v>570</v>
      </c>
    </row>
    <row r="7" spans="2:3" x14ac:dyDescent="0.3">
      <c r="B7" s="73" t="s">
        <v>49</v>
      </c>
      <c r="C7" s="74">
        <v>600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tabSelected="1" workbookViewId="0">
      <selection activeCell="B6" sqref="B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2" t="s">
        <v>33</v>
      </c>
      <c r="C2" s="72"/>
    </row>
    <row r="3" spans="2:3" ht="16.95" customHeight="1" x14ac:dyDescent="0.3">
      <c r="B3" s="38" t="s">
        <v>34</v>
      </c>
      <c r="C3" s="39">
        <f>'2023'!P27+'2024'!P27+'2025'!P30</f>
        <v>12530.014113560002</v>
      </c>
    </row>
    <row r="4" spans="2:3" ht="16.95" customHeight="1" x14ac:dyDescent="0.3">
      <c r="B4" s="38" t="s">
        <v>39</v>
      </c>
      <c r="C4" s="40">
        <f>'2023'!P12+'2024'!P12+'2025'!P12</f>
        <v>7</v>
      </c>
    </row>
    <row r="5" spans="2:3" x14ac:dyDescent="0.3">
      <c r="B5" t="s">
        <v>48</v>
      </c>
      <c r="C5">
        <f>(6*2.08)+(13*1)-C4</f>
        <v>18.48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108</vt:i4>
      </vt:variant>
    </vt:vector>
  </HeadingPairs>
  <TitlesOfParts>
    <vt:vector size="113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'2025'!SORTIES_FRAIS_PEE_AMUNDI</vt:lpstr>
      <vt:lpstr>SORTIES_INTERESSEMENT_NET</vt:lpstr>
      <vt:lpstr>SORTIES_INTERESSMENET_CSG_CRDS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2025-02-06T12:42:33Z</dcterms:modified>
</cp:coreProperties>
</file>