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1\Normal\"/>
    </mc:Choice>
  </mc:AlternateContent>
  <xr:revisionPtr revIDLastSave="0" documentId="13_ncr:1_{D2116506-8A98-496A-B620-8904FB3D7F28}" xr6:coauthVersionLast="47" xr6:coauthVersionMax="47" xr10:uidLastSave="{00000000-0000-0000-0000-000000000000}"/>
  <bookViews>
    <workbookView xWindow="-108" yWindow="-108" windowWidth="23256" windowHeight="14856" activeTab="4" xr2:uid="{00000000-000D-0000-FFFF-FFFF00000000}"/>
  </bookViews>
  <sheets>
    <sheet name="2023" sheetId="14" r:id="rId1"/>
    <sheet name="2024" sheetId="15" r:id="rId2"/>
    <sheet name="2025" sheetId="16" r:id="rId3"/>
    <sheet name="Params" sheetId="10" r:id="rId4"/>
    <sheet name="Synthése" sheetId="13" r:id="rId5"/>
  </sheets>
  <definedNames>
    <definedName name="AOUT" localSheetId="0">'2023'!$J$3</definedName>
    <definedName name="AOUT">#REF!</definedName>
    <definedName name="AVANCE_SUR_SALAIRE" localSheetId="0">'2023'!#REF!</definedName>
    <definedName name="AVANCE_SUR_SALAIRE">#REF!</definedName>
    <definedName name="AVRIL" localSheetId="0">'2023'!$F$3</definedName>
    <definedName name="AVRIL">#REF!</definedName>
    <definedName name="CRA" localSheetId="0">'2023'!$B$10</definedName>
    <definedName name="CRA">#REF!</definedName>
    <definedName name="CRA_ASTREINTE" localSheetId="0">'2023'!$B$14</definedName>
    <definedName name="CRA_ASTREINTE">#REF!</definedName>
    <definedName name="CRA_CP" localSheetId="0">'2023'!$B$12</definedName>
    <definedName name="CRA_CP">#REF!</definedName>
    <definedName name="CRA_PRODUCTION" localSheetId="0">'2023'!$B$11</definedName>
    <definedName name="CRA_PRODUCTION">#REF!</definedName>
    <definedName name="CRA_SANS_SOLDE" localSheetId="0">'2023'!$B$13</definedName>
    <definedName name="CRA_SANS_SOLDE">#REF!</definedName>
    <definedName name="DECEMBRE" localSheetId="0">'2023'!$N$3</definedName>
    <definedName name="DECEMBRE">#REF!</definedName>
    <definedName name="ENTREES" localSheetId="0">'2023'!$B$16</definedName>
    <definedName name="ENTREES">#REF!</definedName>
    <definedName name="ENTREES_ASTREINTE" localSheetId="0">'2023'!$B$18</definedName>
    <definedName name="ENTREES_ASTREINTE">#REF!</definedName>
    <definedName name="ENTREES_FACTURE" localSheetId="0">'2023'!$B$17</definedName>
    <definedName name="ENTREES_FACTURE">#REF!</definedName>
    <definedName name="FEVRIER" localSheetId="0">'2023'!$D$3</definedName>
    <definedName name="FEVRIER">#REF!</definedName>
    <definedName name="FRAIS_KM" localSheetId="0">'2023'!$B$31</definedName>
    <definedName name="JANVIER" localSheetId="0">'2023'!$C$3</definedName>
    <definedName name="JANVIER">#REF!</definedName>
    <definedName name="JUILLET" localSheetId="0">'2023'!$I$3</definedName>
    <definedName name="JUILLET">#REF!</definedName>
    <definedName name="JUIN" localSheetId="0">'2023'!$H$3</definedName>
    <definedName name="JUIN">#REF!</definedName>
    <definedName name="MAI" localSheetId="0">'2023'!$G$3</definedName>
    <definedName name="MAI">#REF!</definedName>
    <definedName name="MARS" localSheetId="0">'2023'!$E$3</definedName>
    <definedName name="MARS">#REF!</definedName>
    <definedName name="MOIS" localSheetId="0">'2023'!$B$3</definedName>
    <definedName name="MOIS">#REF!</definedName>
    <definedName name="NOMBRE_KM" localSheetId="0">'2023'!$B$30</definedName>
    <definedName name="NOVEMBRE" localSheetId="0">'2023'!$M$3</definedName>
    <definedName name="NOVEMBRE">#REF!</definedName>
    <definedName name="OCTOBRE" localSheetId="0">'2023'!$L$3</definedName>
    <definedName name="OCTOBRE">#REF!</definedName>
    <definedName name="REPAS" localSheetId="0">'2023'!$B$5</definedName>
    <definedName name="REPAS">#REF!</definedName>
    <definedName name="REPAS_ACQUIS" localSheetId="0">'2023'!$B$7</definedName>
    <definedName name="REPAS_ACQUIS">#REF!</definedName>
    <definedName name="REPAS_PRIS" localSheetId="0">'2023'!$B$6</definedName>
    <definedName name="REPAS_PRIS">#REF!</definedName>
    <definedName name="REPAS_SOLDE" localSheetId="0">'2023'!$B$8</definedName>
    <definedName name="REPAS_SOLDE">#REF!</definedName>
    <definedName name="SEPTEMBRE" localSheetId="0">'2023'!$K$3</definedName>
    <definedName name="SEPTEMBRE">#REF!</definedName>
    <definedName name="SOLDE" localSheetId="0">'2023'!$B$28</definedName>
    <definedName name="SORTIES" localSheetId="0">'2023'!$B$21</definedName>
    <definedName name="SORTIES">#REF!</definedName>
    <definedName name="SORTIES_ABONDEMENT" localSheetId="0">'2023'!#REF!</definedName>
    <definedName name="SORTIES_ABONDEMENT">#REF!</definedName>
    <definedName name="SORTIES_CHARGES_SOCIALES_PATRONALES" localSheetId="0">'2023'!$B$23</definedName>
    <definedName name="SORTIES_CHARGES_SOCIALES_PATRONALES">#REF!</definedName>
    <definedName name="SORTIES_FRAIS_KM" localSheetId="0">'2023'!$B$24</definedName>
    <definedName name="SORTIES_FRAIS_PEE_AMUNDI" localSheetId="0">'2023'!#REF!</definedName>
    <definedName name="SORTIES_FRAIS_PEE_AMUNDI">#REF!</definedName>
    <definedName name="SORTIES_INTERESSEMENT" localSheetId="0">'2023'!#REF!</definedName>
    <definedName name="SORTIES_INTERESSEMENT">#REF!</definedName>
    <definedName name="SORTIES_SALAIRE_NET" localSheetId="0">'2023'!$B$22</definedName>
    <definedName name="SORTIES_SALAIRE_NET">#REF!</definedName>
    <definedName name="TOTAL" localSheetId="0">'2023'!$P$3</definedName>
    <definedName name="TOTAL">#REF!</definedName>
    <definedName name="TOTAL_ENTREES" localSheetId="0">'2023'!$B$19</definedName>
    <definedName name="TOTAL_ENTREES">#REF!</definedName>
    <definedName name="TOTAL_SORTIES" localSheetId="0">'2023'!$B$26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C3" i="13" l="1"/>
  <c r="C5" i="13"/>
  <c r="C4" i="13"/>
  <c r="C23" i="16"/>
  <c r="C17" i="16"/>
  <c r="C19" i="16" s="1"/>
  <c r="N17" i="15"/>
  <c r="D19" i="16"/>
  <c r="D28" i="16" s="1"/>
  <c r="I19" i="16"/>
  <c r="J19" i="16"/>
  <c r="J28" i="16" s="1"/>
  <c r="P31" i="16"/>
  <c r="P30" i="16"/>
  <c r="N26" i="16"/>
  <c r="L26" i="16"/>
  <c r="K26" i="16"/>
  <c r="J26" i="16"/>
  <c r="I26" i="16"/>
  <c r="H26" i="16"/>
  <c r="G26" i="16"/>
  <c r="F26" i="16"/>
  <c r="E26" i="16"/>
  <c r="D26" i="16"/>
  <c r="P25" i="16"/>
  <c r="P24" i="16"/>
  <c r="P23" i="16"/>
  <c r="C26" i="16"/>
  <c r="P22" i="16"/>
  <c r="M19" i="16"/>
  <c r="L19" i="16"/>
  <c r="L28" i="16" s="1"/>
  <c r="K19" i="16"/>
  <c r="H19" i="16"/>
  <c r="G19" i="16"/>
  <c r="F19" i="16"/>
  <c r="F28" i="16" s="1"/>
  <c r="E19" i="16"/>
  <c r="E28" i="16" s="1"/>
  <c r="P18" i="16"/>
  <c r="N19" i="16"/>
  <c r="N28" i="16" s="1"/>
  <c r="P14" i="16"/>
  <c r="P13" i="16"/>
  <c r="P12" i="16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7" i="16"/>
  <c r="P6" i="16"/>
  <c r="N23" i="15"/>
  <c r="M23" i="15"/>
  <c r="M17" i="15"/>
  <c r="J17" i="14"/>
  <c r="C23" i="15"/>
  <c r="G28" i="16" l="1"/>
  <c r="H28" i="16"/>
  <c r="K28" i="16"/>
  <c r="P8" i="16"/>
  <c r="P17" i="16"/>
  <c r="I28" i="16"/>
  <c r="C28" i="16"/>
  <c r="P19" i="16"/>
  <c r="M26" i="16"/>
  <c r="M28" i="16" s="1"/>
  <c r="P31" i="15"/>
  <c r="P30" i="15"/>
  <c r="P33" i="15" s="1"/>
  <c r="F28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P25" i="15"/>
  <c r="P24" i="15"/>
  <c r="P23" i="15"/>
  <c r="P22" i="15"/>
  <c r="L19" i="15"/>
  <c r="K19" i="15"/>
  <c r="K28" i="15" s="1"/>
  <c r="J19" i="15"/>
  <c r="I19" i="15"/>
  <c r="H19" i="15"/>
  <c r="G19" i="15"/>
  <c r="F19" i="15"/>
  <c r="E19" i="15"/>
  <c r="E28" i="15" s="1"/>
  <c r="D19" i="15"/>
  <c r="D28" i="15" s="1"/>
  <c r="C19" i="15"/>
  <c r="P18" i="15"/>
  <c r="N19" i="15"/>
  <c r="M19" i="15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P26" i="16" l="1"/>
  <c r="P28" i="16"/>
  <c r="P34" i="15"/>
  <c r="C28" i="15"/>
  <c r="G28" i="15"/>
  <c r="H28" i="15"/>
  <c r="J28" i="15"/>
  <c r="L28" i="15"/>
  <c r="M28" i="15"/>
  <c r="N28" i="15"/>
  <c r="I28" i="15"/>
  <c r="P26" i="15"/>
  <c r="P8" i="15"/>
  <c r="P19" i="15"/>
  <c r="P17" i="15"/>
  <c r="P31" i="14"/>
  <c r="P30" i="14"/>
  <c r="K26" i="14"/>
  <c r="H26" i="14"/>
  <c r="G26" i="14"/>
  <c r="F26" i="14"/>
  <c r="E26" i="14"/>
  <c r="D26" i="14"/>
  <c r="C26" i="14"/>
  <c r="P25" i="14"/>
  <c r="P24" i="14"/>
  <c r="N23" i="14"/>
  <c r="N26" i="14" s="1"/>
  <c r="M23" i="14"/>
  <c r="M26" i="14" s="1"/>
  <c r="L23" i="14"/>
  <c r="L26" i="14" s="1"/>
  <c r="K23" i="14"/>
  <c r="J23" i="14"/>
  <c r="J26" i="14" s="1"/>
  <c r="I23" i="14"/>
  <c r="I26" i="14" s="1"/>
  <c r="P22" i="14"/>
  <c r="J19" i="14"/>
  <c r="H19" i="14"/>
  <c r="H28" i="14" s="1"/>
  <c r="G19" i="14"/>
  <c r="G28" i="14" s="1"/>
  <c r="F19" i="14"/>
  <c r="F28" i="14" s="1"/>
  <c r="E19" i="14"/>
  <c r="D19" i="14"/>
  <c r="D28" i="14" s="1"/>
  <c r="C19" i="14"/>
  <c r="C28" i="14" s="1"/>
  <c r="P18" i="14"/>
  <c r="N17" i="14"/>
  <c r="N19" i="14" s="1"/>
  <c r="N28" i="14" s="1"/>
  <c r="M17" i="14"/>
  <c r="M19" i="14" s="1"/>
  <c r="L17" i="14"/>
  <c r="L19" i="14" s="1"/>
  <c r="K17" i="14"/>
  <c r="K19" i="14" s="1"/>
  <c r="K28" i="14" s="1"/>
  <c r="I17" i="14"/>
  <c r="I19" i="14" s="1"/>
  <c r="I28" i="14" s="1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P28" i="15" l="1"/>
  <c r="M28" i="14"/>
  <c r="L28" i="14"/>
  <c r="P8" i="14"/>
  <c r="E28" i="14"/>
  <c r="P26" i="14"/>
  <c r="J28" i="14"/>
  <c r="P19" i="14"/>
  <c r="P23" i="14"/>
  <c r="P17" i="14"/>
  <c r="P28" i="14" l="1"/>
</calcChain>
</file>

<file path=xl/sharedStrings.xml><?xml version="1.0" encoding="utf-8"?>
<sst xmlns="http://schemas.openxmlformats.org/spreadsheetml/2006/main" count="122" uniqueCount="47">
  <si>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</si>
  <si>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</si>
  <si>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</si>
  <si>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</si>
  <si>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</si>
  <si>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</si>
  <si>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</si>
  <si>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</si>
  <si>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</si>
  <si>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</si>
  <si>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</si>
  <si>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</si>
  <si>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</si>
  <si>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</si>
  <si>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</si>
  <si>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</si>
  <si>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</si>
  <si>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</si>
  <si>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</si>
  <si>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</si>
  <si>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</si>
  <si>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</si>
  <si>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</si>
  <si>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</si>
  <si>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</si>
  <si>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</si>
  <si>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</si>
  <si>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</si>
  <si>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</si>
  <si>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</si>
  <si>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</si>
  <si>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</si>
  <si>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</si>
  <si>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</si>
  <si>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</si>
  <si>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</si>
  <si>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</si>
  <si>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</si>
  <si>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</si>
  <si>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</si>
  <si>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</si>
  <si>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(Juillet 2023)</t>
  </si>
  <si>
    <t>Achat HT</t>
  </si>
  <si>
    <t>TJM (Novembre 2024)</t>
  </si>
  <si>
    <t>Frais KM annuel à payer</t>
  </si>
  <si>
    <t>Régularisation Frais KM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</si>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</sst>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4" fontId="4" fillId="4" borderId="2" xfId="0" applyNumberFormat="1" applyFont="1" applyFill="1" applyBorder="1"/>
    <xf numFmtId="0" fontId="1" fillId="9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4"/>
  <sheetViews>
    <sheetView topLeftCell="B3" workbookViewId="0">
      <selection activeCell="L26" sqref="L26"/>
    </sheetView>
  </sheetViews>
  <sheetFormatPr baseColWidth="10" defaultRowHeight="14.4" x14ac:dyDescent="0.3"/>
  <cols>
    <col min="1" max="1" width="3" customWidth="1"/>
    <col min="2" max="2" width="28" customWidth="1"/>
    <col min="14" max="14" width="18.88671875" bestFit="1" customWidth="1"/>
    <col min="15" max="15" width="4" customWidth="1"/>
    <col min="16" max="16" width="11" style="48" customWidth="1"/>
  </cols>
  <sheetData>
    <row r="1" spans="2:16" x14ac:dyDescent="0.3">
      <c r="B1" s="66" t="s">
        <v>9</v>
      </c>
    </row>
    <row r="2" spans="2:16" x14ac:dyDescent="0.3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/>
      <c r="E6" s="35"/>
      <c r="F6" s="37"/>
      <c r="G6" s="37"/>
      <c r="H6" s="37"/>
      <c r="I6" s="37">
        <v>9</v>
      </c>
      <c r="J6" s="37">
        <v>19</v>
      </c>
      <c r="K6" s="37">
        <v>19</v>
      </c>
      <c r="L6" s="37">
        <v>19</v>
      </c>
      <c r="M6" s="37">
        <v>19</v>
      </c>
      <c r="N6" s="37">
        <v>19</v>
      </c>
      <c r="O6" s="36"/>
      <c r="P6" s="57">
        <f>SUM(C6:N6)</f>
        <v>104</v>
      </c>
    </row>
    <row r="7" spans="2:16" x14ac:dyDescent="0.3">
      <c r="B7" s="9" t="s">
        <v>21</v>
      </c>
      <c r="C7" s="37"/>
      <c r="D7" s="37"/>
      <c r="E7" s="37"/>
      <c r="F7" s="37"/>
      <c r="G7" s="37"/>
      <c r="H7" s="37"/>
      <c r="I7" s="37">
        <v>9</v>
      </c>
      <c r="J7" s="37">
        <v>21</v>
      </c>
      <c r="K7" s="37">
        <v>19</v>
      </c>
      <c r="L7" s="37">
        <v>22</v>
      </c>
      <c r="M7" s="37">
        <v>16</v>
      </c>
      <c r="N7" s="37">
        <v>20</v>
      </c>
      <c r="O7" s="36"/>
      <c r="P7" s="57">
        <f>SUM(C7:N7)</f>
        <v>107</v>
      </c>
    </row>
    <row r="8" spans="2:16" x14ac:dyDescent="0.3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2</v>
      </c>
      <c r="K8" s="63">
        <f t="shared" si="0"/>
        <v>0</v>
      </c>
      <c r="L8" s="63">
        <f t="shared" si="0"/>
        <v>3</v>
      </c>
      <c r="M8" s="63">
        <f t="shared" si="0"/>
        <v>-3</v>
      </c>
      <c r="N8" s="63">
        <f t="shared" si="0"/>
        <v>1</v>
      </c>
      <c r="O8" s="36"/>
      <c r="P8" s="57">
        <f>SUM(C8:N8)</f>
        <v>3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/>
      <c r="E11" s="11"/>
      <c r="F11" s="11"/>
      <c r="G11" s="11"/>
      <c r="H11" s="11"/>
      <c r="I11" s="11">
        <v>9</v>
      </c>
      <c r="J11" s="11">
        <v>21</v>
      </c>
      <c r="K11" s="11">
        <v>19</v>
      </c>
      <c r="L11" s="11">
        <v>22</v>
      </c>
      <c r="M11" s="11">
        <v>16</v>
      </c>
      <c r="N11" s="11">
        <v>20</v>
      </c>
      <c r="P11" s="58">
        <f>SUM(C11:N11)</f>
        <v>107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/>
      <c r="J12" s="12">
        <v>1</v>
      </c>
      <c r="K12" s="12">
        <v>2</v>
      </c>
      <c r="L12" s="12"/>
      <c r="M12" s="12">
        <v>5</v>
      </c>
      <c r="N12" s="12"/>
      <c r="P12" s="58">
        <f>SUM(C12:N12)</f>
        <v>8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/>
      <c r="E17" s="10"/>
      <c r="F17" s="10"/>
      <c r="G17" s="10"/>
      <c r="H17" s="10"/>
      <c r="I17" s="10">
        <f>I11*Params!$C$5*(1-Params!$C$3)-Params!$C$4</f>
        <v>5307</v>
      </c>
      <c r="J17" s="10">
        <f>J11*Params!$C$5*(1-Params!$C$3)-Params!$C$4</f>
        <v>12483</v>
      </c>
      <c r="K17" s="10">
        <f>K11*Params!$C$5*(1-Params!$C$3)-Params!$C$4</f>
        <v>11287</v>
      </c>
      <c r="L17" s="10">
        <f>L11*Params!$C$5*(1-Params!$C$3)-Params!$C$4</f>
        <v>13081</v>
      </c>
      <c r="M17" s="10">
        <f>M11*Params!$C$5*(1-Params!$C$3)-Params!$C$4</f>
        <v>9493</v>
      </c>
      <c r="N17" s="10">
        <f>N11*Params!$C$5*(1-Params!$C$3)-Params!$C$4</f>
        <v>11885</v>
      </c>
      <c r="O17" s="4"/>
      <c r="P17" s="41">
        <f>SUM(C17:N17)</f>
        <v>63536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5307</v>
      </c>
      <c r="J19" s="28">
        <f t="shared" si="1"/>
        <v>12483</v>
      </c>
      <c r="K19" s="28">
        <f t="shared" si="1"/>
        <v>11287</v>
      </c>
      <c r="L19" s="28">
        <f t="shared" si="1"/>
        <v>13081</v>
      </c>
      <c r="M19" s="28">
        <f t="shared" si="1"/>
        <v>9493</v>
      </c>
      <c r="N19" s="28">
        <f t="shared" si="1"/>
        <v>11885</v>
      </c>
      <c r="O19" s="5"/>
      <c r="P19" s="42">
        <f>SUM(C19:O19)</f>
        <v>63536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/>
      <c r="D22" s="10"/>
      <c r="E22" s="10"/>
      <c r="F22" s="10"/>
      <c r="G22" s="10"/>
      <c r="H22" s="10"/>
      <c r="I22" s="10">
        <v>2774.38</v>
      </c>
      <c r="J22" s="10">
        <v>6704.01</v>
      </c>
      <c r="K22" s="10">
        <v>6704.01</v>
      </c>
      <c r="L22" s="10">
        <v>6704.01</v>
      </c>
      <c r="M22" s="10">
        <v>6704.01</v>
      </c>
      <c r="N22" s="10">
        <v>6704.01</v>
      </c>
      <c r="O22" s="4"/>
      <c r="P22" s="43">
        <f>SUM(C22:N22)</f>
        <v>36294.43</v>
      </c>
    </row>
    <row r="23" spans="2:16" x14ac:dyDescent="0.3">
      <c r="B23" s="9" t="s">
        <v>8</v>
      </c>
      <c r="C23" s="10"/>
      <c r="D23" s="10"/>
      <c r="E23" s="10"/>
      <c r="F23" s="10"/>
      <c r="G23" s="10"/>
      <c r="H23" s="10"/>
      <c r="I23" s="10">
        <f>593.4+1168.29</f>
        <v>1761.69</v>
      </c>
      <c r="J23" s="10">
        <f>1364.87+2745.57</f>
        <v>4110.4400000000005</v>
      </c>
      <c r="K23" s="10">
        <f>1364.87+2748.21</f>
        <v>4113.08</v>
      </c>
      <c r="L23" s="10">
        <f>1364.87+2750.82</f>
        <v>4115.6900000000005</v>
      </c>
      <c r="M23" s="10">
        <f>1364.87+2745.57</f>
        <v>4110.4400000000005</v>
      </c>
      <c r="N23" s="10">
        <f>1364.87+2758.71</f>
        <v>4123.58</v>
      </c>
      <c r="O23" s="4"/>
      <c r="P23" s="43">
        <f>SUM(C23:N23)</f>
        <v>22334.920000000006</v>
      </c>
    </row>
    <row r="24" spans="2:16" x14ac:dyDescent="0.3">
      <c r="B24" s="55" t="s">
        <v>40</v>
      </c>
      <c r="C24" s="10"/>
      <c r="D24" s="10"/>
      <c r="E24" s="10"/>
      <c r="F24" s="10"/>
      <c r="G24" s="10"/>
      <c r="H24" s="10"/>
      <c r="I24" s="10">
        <v>279.928</v>
      </c>
      <c r="J24" s="10">
        <v>519.83199999999999</v>
      </c>
      <c r="K24" s="10">
        <v>479.84800000000001</v>
      </c>
      <c r="L24" s="10">
        <v>539.82399999999996</v>
      </c>
      <c r="M24" s="10">
        <v>419.87200000000001</v>
      </c>
      <c r="N24" s="10">
        <v>499.84</v>
      </c>
      <c r="O24" s="4"/>
      <c r="P24" s="43">
        <f>SUM(C24:N24)</f>
        <v>2739.1439999999998</v>
      </c>
    </row>
    <row r="25" spans="2:16" x14ac:dyDescent="0.3">
      <c r="B25" s="55" t="s">
        <v>42</v>
      </c>
      <c r="C25" s="64"/>
      <c r="D25" s="64"/>
      <c r="E25" s="64"/>
      <c r="F25" s="64"/>
      <c r="G25" s="64"/>
      <c r="H25" s="64"/>
      <c r="I25" s="64"/>
      <c r="J25" s="64"/>
      <c r="K25" s="64"/>
      <c r="L25" s="64">
        <v>1024.17</v>
      </c>
      <c r="M25" s="64"/>
      <c r="N25" s="64"/>
      <c r="O25" s="4"/>
      <c r="P25" s="43">
        <f>SUM(C25:N25)</f>
        <v>1024.17</v>
      </c>
    </row>
    <row r="26" spans="2:16" x14ac:dyDescent="0.3">
      <c r="B26" s="8" t="s">
        <v>3</v>
      </c>
      <c r="C26" s="44">
        <f t="shared" ref="C26:K26" si="2">SUM(C22:C24)</f>
        <v>0</v>
      </c>
      <c r="D26" s="44">
        <f t="shared" si="2"/>
        <v>0</v>
      </c>
      <c r="E26" s="44">
        <f t="shared" si="2"/>
        <v>0</v>
      </c>
      <c r="F26" s="44">
        <f t="shared" si="2"/>
        <v>0</v>
      </c>
      <c r="G26" s="44">
        <f t="shared" si="2"/>
        <v>0</v>
      </c>
      <c r="H26" s="44">
        <f t="shared" si="2"/>
        <v>0</v>
      </c>
      <c r="I26" s="44">
        <f t="shared" si="2"/>
        <v>4815.9979999999996</v>
      </c>
      <c r="J26" s="44">
        <f t="shared" si="2"/>
        <v>11334.282000000001</v>
      </c>
      <c r="K26" s="44">
        <f t="shared" si="2"/>
        <v>11296.938</v>
      </c>
      <c r="L26" s="44">
        <f>SUM(L22:L25)</f>
        <v>12383.694000000001</v>
      </c>
      <c r="M26" s="44">
        <f>SUM(M22:M25)</f>
        <v>11234.322</v>
      </c>
      <c r="N26" s="44">
        <f>SUM(N22:N25)</f>
        <v>11327.43</v>
      </c>
      <c r="O26" s="4"/>
      <c r="P26" s="60">
        <f>SUM(C26:N26)</f>
        <v>62392.664000000004</v>
      </c>
    </row>
    <row r="27" spans="2:16" x14ac:dyDescent="0.3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">
      <c r="B28" s="46" t="s">
        <v>36</v>
      </c>
      <c r="C28" s="47">
        <f t="shared" ref="C28:N28" si="3">C19-C26</f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  <c r="H28" s="47">
        <f t="shared" si="3"/>
        <v>0</v>
      </c>
      <c r="I28" s="47">
        <f t="shared" si="3"/>
        <v>491.00200000000041</v>
      </c>
      <c r="J28" s="47">
        <f t="shared" si="3"/>
        <v>1148.7179999999989</v>
      </c>
      <c r="K28" s="47">
        <f t="shared" si="3"/>
        <v>-9.9380000000001019</v>
      </c>
      <c r="L28" s="47">
        <f t="shared" si="3"/>
        <v>697.30599999999868</v>
      </c>
      <c r="M28" s="47">
        <f t="shared" si="3"/>
        <v>-1741.3220000000001</v>
      </c>
      <c r="N28" s="47">
        <f t="shared" si="3"/>
        <v>557.56999999999971</v>
      </c>
      <c r="P28" s="59">
        <f>SUM(C28:O28)</f>
        <v>1143.3359999999975</v>
      </c>
    </row>
    <row r="30" spans="2:16" x14ac:dyDescent="0.3">
      <c r="B30" s="62" t="s">
        <v>37</v>
      </c>
      <c r="C30" s="54"/>
      <c r="D30" s="54"/>
      <c r="E30" s="54"/>
      <c r="F30" s="54"/>
      <c r="G30" s="54"/>
      <c r="H30" s="54"/>
      <c r="I30" s="54">
        <v>504</v>
      </c>
      <c r="J30" s="54">
        <v>1176</v>
      </c>
      <c r="K30" s="54">
        <v>1064</v>
      </c>
      <c r="L30" s="54">
        <v>1232</v>
      </c>
      <c r="M30" s="54">
        <v>896</v>
      </c>
      <c r="N30" s="54">
        <v>1120</v>
      </c>
      <c r="P30" s="61">
        <f>SUM(C30:N30)</f>
        <v>5992</v>
      </c>
    </row>
    <row r="31" spans="2:16" x14ac:dyDescent="0.3">
      <c r="B31" s="62" t="s">
        <v>38</v>
      </c>
      <c r="C31" s="54"/>
      <c r="D31" s="54"/>
      <c r="E31" s="54"/>
      <c r="F31" s="54"/>
      <c r="G31" s="54"/>
      <c r="H31" s="54"/>
      <c r="I31" s="54">
        <v>279.928</v>
      </c>
      <c r="J31" s="54">
        <v>519.83199999999999</v>
      </c>
      <c r="K31" s="54">
        <v>479.84800000000001</v>
      </c>
      <c r="L31" s="54">
        <v>539.82399999999996</v>
      </c>
      <c r="M31" s="54">
        <v>419.87200000000001</v>
      </c>
      <c r="N31" s="54">
        <v>499.84</v>
      </c>
      <c r="P31" s="61">
        <f>SUM(C31:N31)</f>
        <v>2739.1439999999998</v>
      </c>
    </row>
    <row r="33" spans="16:16" x14ac:dyDescent="0.3">
      <c r="P33"/>
    </row>
    <row r="34" spans="16:16" x14ac:dyDescent="0.3">
      <c r="P34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5"/>
  <sheetViews>
    <sheetView topLeftCell="A3" workbookViewId="0">
      <selection activeCell="N18" sqref="N18"/>
    </sheetView>
  </sheetViews>
  <sheetFormatPr baseColWidth="10" defaultRowHeight="14.4" x14ac:dyDescent="0.3"/>
  <cols>
    <col min="1" max="1" width="3" customWidth="1"/>
    <col min="2" max="2" width="28" customWidth="1"/>
    <col min="14" max="14" width="20.33203125" bestFit="1" customWidth="1"/>
    <col min="15" max="15" width="4" customWidth="1"/>
    <col min="16" max="16" width="11" style="48" customWidth="1"/>
  </cols>
  <sheetData>
    <row r="1" spans="2:16" x14ac:dyDescent="0.3">
      <c r="B1" s="66" t="s">
        <v>9</v>
      </c>
    </row>
    <row r="2" spans="2:16" x14ac:dyDescent="0.3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/>
      <c r="E6" s="35"/>
      <c r="F6" s="37"/>
      <c r="G6" s="37"/>
      <c r="H6" s="37"/>
      <c r="I6" s="37"/>
      <c r="J6" s="37"/>
      <c r="K6" s="37"/>
      <c r="L6" s="37"/>
      <c r="M6" s="37">
        <v>19</v>
      </c>
      <c r="N6" s="37">
        <v>19</v>
      </c>
      <c r="O6" s="36"/>
      <c r="P6" s="57">
        <f>SUM(C6:N6)</f>
        <v>38</v>
      </c>
    </row>
    <row r="7" spans="2:16" x14ac:dyDescent="0.3">
      <c r="B7" s="9" t="s">
        <v>21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>
        <v>17</v>
      </c>
      <c r="N7" s="37">
        <v>20</v>
      </c>
      <c r="O7" s="36"/>
      <c r="P7" s="57">
        <f>SUM(C7:N7)</f>
        <v>37</v>
      </c>
    </row>
    <row r="8" spans="2:16" x14ac:dyDescent="0.3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-2</v>
      </c>
      <c r="N8" s="63">
        <f t="shared" si="0"/>
        <v>1</v>
      </c>
      <c r="O8" s="36"/>
      <c r="P8" s="57">
        <f>SUM(C8:N8)</f>
        <v>-1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>
        <v>17</v>
      </c>
      <c r="N11" s="11">
        <v>20</v>
      </c>
      <c r="P11" s="58">
        <f>SUM(C11:N11)</f>
        <v>37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>
        <v>1</v>
      </c>
      <c r="P12" s="58">
        <f>SUM(C12:N12)</f>
        <v>1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>
        <v>2</v>
      </c>
      <c r="N13" s="12"/>
      <c r="P13" s="58">
        <f>SUM(C13:N13)</f>
        <v>2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>
        <f>M11*Params!$C$6*(1-Params!$C$3)-Params!$C$4</f>
        <v>8527</v>
      </c>
      <c r="N17" s="10">
        <f>N11*Params!$C$6*(1-Params!$C$3)-Params!$C$4</f>
        <v>10045</v>
      </c>
      <c r="O17" s="4"/>
      <c r="P17" s="41">
        <f>SUM(C17:N17)</f>
        <v>18572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8527</v>
      </c>
      <c r="N19" s="28">
        <f t="shared" si="1"/>
        <v>10045</v>
      </c>
      <c r="O19" s="5"/>
      <c r="P19" s="42">
        <f>SUM(C19:O19)</f>
        <v>18572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>
        <v>563.28</v>
      </c>
      <c r="D22" s="10"/>
      <c r="E22" s="10"/>
      <c r="F22" s="10"/>
      <c r="G22" s="10"/>
      <c r="H22" s="10"/>
      <c r="I22" s="10"/>
      <c r="J22" s="10"/>
      <c r="K22" s="10"/>
      <c r="L22" s="10"/>
      <c r="M22" s="10">
        <v>4574.53</v>
      </c>
      <c r="N22" s="10">
        <v>5496.57</v>
      </c>
      <c r="O22" s="4"/>
      <c r="P22" s="43">
        <f>SUM(C22:N22)</f>
        <v>10634.38</v>
      </c>
    </row>
    <row r="23" spans="2:16" x14ac:dyDescent="0.3">
      <c r="B23" s="9" t="s">
        <v>8</v>
      </c>
      <c r="C23" s="10">
        <f>173.47+306.06</f>
        <v>479.53</v>
      </c>
      <c r="D23" s="10"/>
      <c r="E23" s="10"/>
      <c r="F23" s="10"/>
      <c r="G23" s="10"/>
      <c r="H23" s="10"/>
      <c r="I23" s="10"/>
      <c r="J23" s="10"/>
      <c r="K23" s="10"/>
      <c r="L23" s="10"/>
      <c r="M23" s="10">
        <f>965.04+1928.78</f>
        <v>2893.8199999999997</v>
      </c>
      <c r="N23" s="10">
        <f>1147.95+2303.75</f>
        <v>3451.7</v>
      </c>
      <c r="O23" s="4"/>
      <c r="P23" s="43">
        <f>SUM(C23:N23)</f>
        <v>6825.0499999999993</v>
      </c>
    </row>
    <row r="24" spans="2:16" x14ac:dyDescent="0.3">
      <c r="B24" s="55" t="s">
        <v>40</v>
      </c>
      <c r="C24" s="10">
        <v>100</v>
      </c>
      <c r="D24" s="10"/>
      <c r="E24" s="10"/>
      <c r="F24" s="10"/>
      <c r="G24" s="10"/>
      <c r="H24" s="10"/>
      <c r="I24" s="10"/>
      <c r="J24" s="10"/>
      <c r="K24" s="10"/>
      <c r="L24" s="10"/>
      <c r="M24" s="10">
        <v>691.97</v>
      </c>
      <c r="N24" s="10">
        <v>578.76</v>
      </c>
      <c r="O24" s="4"/>
      <c r="P24" s="43">
        <f>SUM(C24:N24)</f>
        <v>1370.73</v>
      </c>
    </row>
    <row r="25" spans="2:16" x14ac:dyDescent="0.3">
      <c r="B25" s="55" t="s">
        <v>42</v>
      </c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4"/>
      <c r="P25" s="43">
        <f>SUM(C25:N25)</f>
        <v>0</v>
      </c>
    </row>
    <row r="26" spans="2:16" x14ac:dyDescent="0.3">
      <c r="B26" s="8" t="s">
        <v>3</v>
      </c>
      <c r="C26" s="44">
        <f t="shared" ref="C26:K26" si="2">SUM(C22:C24)</f>
        <v>1142.81</v>
      </c>
      <c r="D26" s="44">
        <f t="shared" si="2"/>
        <v>0</v>
      </c>
      <c r="E26" s="44">
        <f t="shared" si="2"/>
        <v>0</v>
      </c>
      <c r="F26" s="44">
        <f t="shared" si="2"/>
        <v>0</v>
      </c>
      <c r="G26" s="44">
        <f t="shared" si="2"/>
        <v>0</v>
      </c>
      <c r="H26" s="44">
        <f t="shared" si="2"/>
        <v>0</v>
      </c>
      <c r="I26" s="44">
        <f t="shared" si="2"/>
        <v>0</v>
      </c>
      <c r="J26" s="44">
        <f t="shared" si="2"/>
        <v>0</v>
      </c>
      <c r="K26" s="44">
        <f t="shared" si="2"/>
        <v>0</v>
      </c>
      <c r="L26" s="44">
        <f>SUM(L22:L25)</f>
        <v>0</v>
      </c>
      <c r="M26" s="44">
        <f>SUM(M22:M25)</f>
        <v>8160.32</v>
      </c>
      <c r="N26" s="44">
        <f>SUM(N22:N25)</f>
        <v>9527.0300000000007</v>
      </c>
      <c r="O26" s="4"/>
      <c r="P26" s="60">
        <f>SUM(C26:N26)</f>
        <v>18830.16</v>
      </c>
    </row>
    <row r="27" spans="2:16" x14ac:dyDescent="0.3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">
      <c r="B28" s="46" t="s">
        <v>36</v>
      </c>
      <c r="C28" s="47">
        <f t="shared" ref="C28:N28" si="3">C19-C26</f>
        <v>-1142.81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  <c r="H28" s="47">
        <f t="shared" si="3"/>
        <v>0</v>
      </c>
      <c r="I28" s="47">
        <f t="shared" si="3"/>
        <v>0</v>
      </c>
      <c r="J28" s="47">
        <f t="shared" si="3"/>
        <v>0</v>
      </c>
      <c r="K28" s="47">
        <f t="shared" si="3"/>
        <v>0</v>
      </c>
      <c r="L28" s="47">
        <f t="shared" si="3"/>
        <v>0</v>
      </c>
      <c r="M28" s="47">
        <f t="shared" si="3"/>
        <v>366.68000000000029</v>
      </c>
      <c r="N28" s="47">
        <f t="shared" si="3"/>
        <v>517.96999999999935</v>
      </c>
      <c r="P28" s="59">
        <f>SUM(C28:O28)</f>
        <v>-258.16000000000031</v>
      </c>
    </row>
    <row r="30" spans="2:16" x14ac:dyDescent="0.3">
      <c r="B30" s="62" t="s">
        <v>37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>
        <v>1088</v>
      </c>
      <c r="N30" s="54">
        <v>1080</v>
      </c>
      <c r="P30" s="61">
        <f>SUM(C30:N30)</f>
        <v>2168</v>
      </c>
    </row>
    <row r="31" spans="2:16" x14ac:dyDescent="0.3">
      <c r="B31" s="62" t="s">
        <v>38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>
        <v>691.97</v>
      </c>
      <c r="N31" s="54">
        <v>578.76</v>
      </c>
      <c r="P31" s="61">
        <f>SUM(C31:N31)</f>
        <v>1270.73</v>
      </c>
    </row>
    <row r="33" spans="6:16" x14ac:dyDescent="0.3">
      <c r="N33" s="54" t="s">
        <v>44</v>
      </c>
      <c r="P33" s="61">
        <f>P30*0.636</f>
        <v>1378.848</v>
      </c>
    </row>
    <row r="34" spans="6:16" x14ac:dyDescent="0.3">
      <c r="N34" s="54" t="s">
        <v>45</v>
      </c>
      <c r="P34" s="61">
        <f>P33-P31</f>
        <v>108.11799999999994</v>
      </c>
    </row>
    <row r="35" spans="6:16" x14ac:dyDescent="0.3">
      <c r="F35" s="4"/>
    </row>
  </sheetData>
  <mergeCells count="1">
    <mergeCell ref="B1:B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B4A00-2BB1-4CDF-9413-687347D1CCE6}">
  <dimension ref="B1:P33"/>
  <sheetViews>
    <sheetView workbookViewId="0">
      <selection activeCell="C31" sqref="C31"/>
    </sheetView>
  </sheetViews>
  <sheetFormatPr baseColWidth="10" defaultRowHeight="14.4" x14ac:dyDescent="0.3"/>
  <cols>
    <col min="1" max="1" width="3" customWidth="1"/>
    <col min="2" max="2" width="28" customWidth="1"/>
    <col min="14" max="14" width="20.33203125" bestFit="1" customWidth="1"/>
    <col min="15" max="15" width="4" customWidth="1"/>
    <col min="16" max="16" width="11" style="48" customWidth="1"/>
  </cols>
  <sheetData>
    <row r="1" spans="2:16" x14ac:dyDescent="0.3">
      <c r="B1" s="66" t="s">
        <v>9</v>
      </c>
    </row>
    <row r="2" spans="2:16" x14ac:dyDescent="0.3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/>
      <c r="E6" s="35"/>
      <c r="F6" s="37"/>
      <c r="G6" s="37"/>
      <c r="H6" s="37"/>
      <c r="I6" s="37"/>
      <c r="J6" s="37"/>
      <c r="K6" s="37"/>
      <c r="L6" s="37"/>
      <c r="M6" s="37"/>
      <c r="N6" s="37"/>
      <c r="O6" s="36"/>
      <c r="P6" s="57">
        <f>SUM(C6:N6)</f>
        <v>19</v>
      </c>
    </row>
    <row r="7" spans="2:16" x14ac:dyDescent="0.3">
      <c r="B7" s="9" t="s">
        <v>21</v>
      </c>
      <c r="C7" s="37">
        <v>19</v>
      </c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6"/>
      <c r="P7" s="57">
        <f>SUM(C7:N7)</f>
        <v>19</v>
      </c>
    </row>
    <row r="8" spans="2:16" x14ac:dyDescent="0.3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0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20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P11" s="58">
        <f>SUM(C11:N11)</f>
        <v>20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8">
        <f>SUM(C12:N12)</f>
        <v>0</v>
      </c>
    </row>
    <row r="13" spans="2:16" x14ac:dyDescent="0.3">
      <c r="B13" s="9" t="s">
        <v>17</v>
      </c>
      <c r="C13" s="12">
        <v>2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2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C11*Params!$C$6*(1-Params!$C$3)-Params!$C$4</f>
        <v>10045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4"/>
      <c r="P17" s="41">
        <f>SUM(C17:N17)</f>
        <v>10045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10045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SUM(C19:O19)</f>
        <v>10045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>
        <v>4949.34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4"/>
      <c r="P22" s="43">
        <f>SUM(C22:N22)</f>
        <v>4949.34</v>
      </c>
    </row>
    <row r="23" spans="2:16" x14ac:dyDescent="0.3">
      <c r="B23" s="9" t="s">
        <v>8</v>
      </c>
      <c r="C23" s="10">
        <f>1053.47+2096.26</f>
        <v>3149.7300000000005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4"/>
      <c r="P23" s="43">
        <f>SUM(C23:N23)</f>
        <v>3149.7300000000005</v>
      </c>
    </row>
    <row r="24" spans="2:16" x14ac:dyDescent="0.3">
      <c r="B24" s="55" t="s">
        <v>40</v>
      </c>
      <c r="C24" s="10">
        <v>556.96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4"/>
      <c r="P24" s="43">
        <f>SUM(C24:N24)</f>
        <v>556.96</v>
      </c>
    </row>
    <row r="25" spans="2:16" x14ac:dyDescent="0.3">
      <c r="B25" s="55" t="s">
        <v>42</v>
      </c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4"/>
      <c r="P25" s="43">
        <f>SUM(C25:N25)</f>
        <v>0</v>
      </c>
    </row>
    <row r="26" spans="2:16" x14ac:dyDescent="0.3">
      <c r="B26" s="8" t="s">
        <v>3</v>
      </c>
      <c r="C26" s="44">
        <f t="shared" ref="C26:K26" si="2">SUM(C22:C24)</f>
        <v>8656.0300000000007</v>
      </c>
      <c r="D26" s="44">
        <f t="shared" si="2"/>
        <v>0</v>
      </c>
      <c r="E26" s="44">
        <f t="shared" si="2"/>
        <v>0</v>
      </c>
      <c r="F26" s="44">
        <f t="shared" si="2"/>
        <v>0</v>
      </c>
      <c r="G26" s="44">
        <f t="shared" si="2"/>
        <v>0</v>
      </c>
      <c r="H26" s="44">
        <f t="shared" si="2"/>
        <v>0</v>
      </c>
      <c r="I26" s="44">
        <f t="shared" si="2"/>
        <v>0</v>
      </c>
      <c r="J26" s="44">
        <f t="shared" si="2"/>
        <v>0</v>
      </c>
      <c r="K26" s="44">
        <f t="shared" si="2"/>
        <v>0</v>
      </c>
      <c r="L26" s="44">
        <f>SUM(L22:L25)</f>
        <v>0</v>
      </c>
      <c r="M26" s="44">
        <f>SUM(M22:M25)</f>
        <v>0</v>
      </c>
      <c r="N26" s="44">
        <f>SUM(N22:N25)</f>
        <v>0</v>
      </c>
      <c r="O26" s="4"/>
      <c r="P26" s="60">
        <f>SUM(C26:N26)</f>
        <v>8656.0300000000007</v>
      </c>
    </row>
    <row r="27" spans="2:16" x14ac:dyDescent="0.3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">
      <c r="B28" s="46" t="s">
        <v>36</v>
      </c>
      <c r="C28" s="47">
        <f t="shared" ref="C28:N28" si="3">C19-C26</f>
        <v>1388.9699999999993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  <c r="H28" s="47">
        <f t="shared" si="3"/>
        <v>0</v>
      </c>
      <c r="I28" s="47">
        <f t="shared" si="3"/>
        <v>0</v>
      </c>
      <c r="J28" s="47">
        <f t="shared" si="3"/>
        <v>0</v>
      </c>
      <c r="K28" s="47">
        <f t="shared" si="3"/>
        <v>0</v>
      </c>
      <c r="L28" s="47">
        <f t="shared" si="3"/>
        <v>0</v>
      </c>
      <c r="M28" s="47">
        <f t="shared" si="3"/>
        <v>0</v>
      </c>
      <c r="N28" s="47">
        <f t="shared" si="3"/>
        <v>0</v>
      </c>
      <c r="P28" s="59">
        <f>SUM(C28:O28)</f>
        <v>1388.9699999999993</v>
      </c>
    </row>
    <row r="30" spans="2:16" x14ac:dyDescent="0.3">
      <c r="B30" s="62" t="s">
        <v>37</v>
      </c>
      <c r="C30" s="54">
        <v>1280</v>
      </c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P30" s="61">
        <f>SUM(C30:N30)</f>
        <v>1280</v>
      </c>
    </row>
    <row r="31" spans="2:16" x14ac:dyDescent="0.3">
      <c r="B31" s="62" t="s">
        <v>38</v>
      </c>
      <c r="C31" s="54">
        <v>556.96</v>
      </c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P31" s="61">
        <f>SUM(C31:N31)</f>
        <v>556.96</v>
      </c>
    </row>
    <row r="33" spans="6:6" x14ac:dyDescent="0.3">
      <c r="F33" s="4"/>
    </row>
  </sheetData>
  <mergeCells count="1">
    <mergeCell ref="B1:B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6"/>
  <sheetViews>
    <sheetView workbookViewId="0">
      <selection activeCell="C6" sqref="C6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8" t="s">
        <v>23</v>
      </c>
      <c r="C2" s="69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41</v>
      </c>
      <c r="C5" s="33">
        <v>650</v>
      </c>
    </row>
    <row r="6" spans="2:3" ht="30" customHeight="1" x14ac:dyDescent="0.3">
      <c r="B6" s="65" t="s">
        <v>43</v>
      </c>
      <c r="C6" s="33">
        <v>550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5"/>
  <sheetViews>
    <sheetView tabSelected="1" workbookViewId="0">
      <selection activeCell="C4" sqref="C4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70" t="s">
        <v>33</v>
      </c>
      <c r="C2" s="70"/>
    </row>
    <row r="3" spans="2:3" ht="16.95" customHeight="1" x14ac:dyDescent="0.3">
      <c r="B3" s="38" t="s">
        <v>34</v>
      </c>
      <c r="C3" s="39">
        <f>'2024'!P28-('2024'!C28)+'2025'!P28</f>
        <v>2273.619999999999</v>
      </c>
    </row>
    <row r="4" spans="2:3" ht="16.95" customHeight="1" x14ac:dyDescent="0.3">
      <c r="B4" s="38" t="s">
        <v>39</v>
      </c>
      <c r="C4" s="40">
        <f>'2024'!P12+'2025'!P12</f>
        <v>1</v>
      </c>
    </row>
    <row r="5" spans="2:3" x14ac:dyDescent="0.3">
      <c r="B5" t="s">
        <v>46</v>
      </c>
      <c r="C5">
        <f>(2.08*3)-C4</f>
        <v>5.24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35</vt:i4>
      </vt:variant>
    </vt:vector>
  </HeadingPairs>
  <TitlesOfParts>
    <vt:vector size="40" baseType="lpstr">
      <vt:lpstr>2023</vt:lpstr>
      <vt:lpstr>2024</vt:lpstr>
      <vt:lpstr>2025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'2023'!FRAIS_KM</vt:lpstr>
      <vt:lpstr>'2023'!JANVIER</vt:lpstr>
      <vt:lpstr>'2023'!JUILLET</vt:lpstr>
      <vt:lpstr>'2023'!JUIN</vt:lpstr>
      <vt:lpstr>'2023'!MAI</vt:lpstr>
      <vt:lpstr>'2023'!MARS</vt:lpstr>
      <vt:lpstr>'2023'!MOIS</vt:lpstr>
      <vt:lpstr>'2023'!NOMBRE_KM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'2023'!SORTIES_FRAIS_KM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2025-02-06T12:32:03Z</dcterms:modified>
</cp:coreProperties>
</file>