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9B612E46-80D9-4C3B-BE72-B40E002BE70B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'2024'!$B$34</definedName>
    <definedName name="FRAIS_KM" localSheetId="2">'2025'!$B$31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'2024'!$B$33</definedName>
    <definedName name="NOMBRE_KM" localSheetId="2">'2025'!$B$30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'2024'!$B$31</definedName>
    <definedName name="SOLDE" localSheetId="2">'2025'!$B$28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'2024'!$B$26</definedName>
    <definedName name="SORTIES_CHARGES_SOCIALES_PATRONALES" localSheetId="2">'2025'!$B$23</definedName>
    <definedName name="SORTIES_CHARGES_SOCIALES_PATRONALES">#REF!</definedName>
    <definedName name="SORTIES_FRAIS_KM" localSheetId="0">'2023'!$B$24</definedName>
    <definedName name="SORTIES_FRAIS_KM" localSheetId="1">'2024'!$B$27</definedName>
    <definedName name="SORTIES_FRAIS_KM" localSheetId="2">'2025'!$B$24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'2023'!$B$25</definedName>
    <definedName name="TOTAL_SORTIES" localSheetId="1">'2024'!$B$29</definedName>
    <definedName name="TOTAL_SORTIES" localSheetId="2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C4" i="13"/>
  <c r="C3" i="13"/>
  <c r="P31" i="16"/>
  <c r="P30" i="16"/>
  <c r="P33" i="16" s="1"/>
  <c r="P34" i="16" s="1"/>
  <c r="P25" i="16"/>
  <c r="P24" i="16"/>
  <c r="J26" i="16"/>
  <c r="P22" i="16"/>
  <c r="P18" i="16"/>
  <c r="N19" i="16"/>
  <c r="M19" i="16"/>
  <c r="L19" i="16"/>
  <c r="K19" i="16"/>
  <c r="J19" i="16"/>
  <c r="I19" i="16"/>
  <c r="H19" i="16"/>
  <c r="G19" i="16"/>
  <c r="F19" i="16"/>
  <c r="D19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G24" i="15"/>
  <c r="H24" i="15"/>
  <c r="I24" i="15"/>
  <c r="J24" i="15"/>
  <c r="K24" i="15"/>
  <c r="L24" i="15"/>
  <c r="M24" i="15"/>
  <c r="N24" i="15"/>
  <c r="G23" i="15"/>
  <c r="H23" i="15"/>
  <c r="I23" i="15"/>
  <c r="J23" i="15"/>
  <c r="K23" i="15"/>
  <c r="K25" i="15" s="1"/>
  <c r="L23" i="15"/>
  <c r="L25" i="15" s="1"/>
  <c r="M23" i="15"/>
  <c r="M25" i="15" s="1"/>
  <c r="N23" i="15"/>
  <c r="N25" i="15" s="1"/>
  <c r="F24" i="15"/>
  <c r="F23" i="15"/>
  <c r="E24" i="15"/>
  <c r="E23" i="15"/>
  <c r="D24" i="15"/>
  <c r="D23" i="15"/>
  <c r="E25" i="15"/>
  <c r="H25" i="15"/>
  <c r="G25" i="15"/>
  <c r="J25" i="15"/>
  <c r="I25" i="15"/>
  <c r="F25" i="15"/>
  <c r="D25" i="15"/>
  <c r="P8" i="16" l="1"/>
  <c r="N26" i="16"/>
  <c r="N28" i="16" s="1"/>
  <c r="K26" i="16"/>
  <c r="K28" i="16" s="1"/>
  <c r="J28" i="16"/>
  <c r="F26" i="16"/>
  <c r="F28" i="16" s="1"/>
  <c r="M26" i="16"/>
  <c r="M28" i="16" s="1"/>
  <c r="I26" i="16"/>
  <c r="I28" i="16" s="1"/>
  <c r="G26" i="16"/>
  <c r="G28" i="16" s="1"/>
  <c r="E19" i="16"/>
  <c r="H26" i="16"/>
  <c r="H28" i="16" s="1"/>
  <c r="D26" i="16"/>
  <c r="D28" i="16" s="1"/>
  <c r="L26" i="16"/>
  <c r="L28" i="16" s="1"/>
  <c r="P24" i="15"/>
  <c r="P23" i="15"/>
  <c r="P25" i="15"/>
  <c r="E26" i="16" l="1"/>
  <c r="P34" i="15"/>
  <c r="P33" i="15"/>
  <c r="P36" i="15" s="1"/>
  <c r="P37" i="15" s="1"/>
  <c r="P28" i="15"/>
  <c r="P27" i="15"/>
  <c r="N26" i="15"/>
  <c r="N29" i="15" s="1"/>
  <c r="M26" i="15"/>
  <c r="M29" i="15" s="1"/>
  <c r="L26" i="15"/>
  <c r="L29" i="15" s="1"/>
  <c r="K26" i="15"/>
  <c r="K29" i="15" s="1"/>
  <c r="J26" i="15"/>
  <c r="J29" i="15" s="1"/>
  <c r="I26" i="15"/>
  <c r="I29" i="15" s="1"/>
  <c r="H26" i="15"/>
  <c r="H29" i="15" s="1"/>
  <c r="G26" i="15"/>
  <c r="G29" i="15" s="1"/>
  <c r="F26" i="15"/>
  <c r="E26" i="15"/>
  <c r="E29" i="15" s="1"/>
  <c r="D26" i="15"/>
  <c r="D29" i="15" s="1"/>
  <c r="C26" i="15"/>
  <c r="C29" i="15" s="1"/>
  <c r="P22" i="15"/>
  <c r="D19" i="15"/>
  <c r="D31" i="15" s="1"/>
  <c r="P18" i="15"/>
  <c r="N17" i="15"/>
  <c r="N19" i="15" s="1"/>
  <c r="N31" i="15" s="1"/>
  <c r="M17" i="15"/>
  <c r="M19" i="15" s="1"/>
  <c r="L17" i="15"/>
  <c r="L19" i="15" s="1"/>
  <c r="L31" i="15" s="1"/>
  <c r="K17" i="15"/>
  <c r="K19" i="15" s="1"/>
  <c r="J17" i="15"/>
  <c r="J19" i="15" s="1"/>
  <c r="I17" i="15"/>
  <c r="I19" i="15" s="1"/>
  <c r="H17" i="15"/>
  <c r="H19" i="15" s="1"/>
  <c r="G17" i="15"/>
  <c r="G19" i="15" s="1"/>
  <c r="F17" i="15"/>
  <c r="F19" i="15" s="1"/>
  <c r="E17" i="15"/>
  <c r="E19" i="15" s="1"/>
  <c r="D17" i="15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D27" i="14"/>
  <c r="N25" i="14"/>
  <c r="M25" i="14"/>
  <c r="K25" i="14"/>
  <c r="J25" i="14"/>
  <c r="I25" i="14"/>
  <c r="G25" i="14"/>
  <c r="F25" i="14"/>
  <c r="E25" i="14"/>
  <c r="D25" i="14"/>
  <c r="C25" i="14"/>
  <c r="P24" i="14"/>
  <c r="P23" i="14"/>
  <c r="L23" i="14"/>
  <c r="L25" i="14" s="1"/>
  <c r="K23" i="14"/>
  <c r="J23" i="14"/>
  <c r="I23" i="14"/>
  <c r="H23" i="14"/>
  <c r="H25" i="14" s="1"/>
  <c r="P22" i="14"/>
  <c r="N19" i="14"/>
  <c r="N27" i="14" s="1"/>
  <c r="M19" i="14"/>
  <c r="M27" i="14" s="1"/>
  <c r="G19" i="14"/>
  <c r="G27" i="14" s="1"/>
  <c r="F19" i="14"/>
  <c r="F27" i="14" s="1"/>
  <c r="E19" i="14"/>
  <c r="E27" i="14" s="1"/>
  <c r="D19" i="14"/>
  <c r="C19" i="14"/>
  <c r="C27" i="14" s="1"/>
  <c r="P18" i="14"/>
  <c r="L17" i="14"/>
  <c r="L19" i="14" s="1"/>
  <c r="K17" i="14"/>
  <c r="K19" i="14" s="1"/>
  <c r="J17" i="14"/>
  <c r="J19" i="14" s="1"/>
  <c r="I17" i="14"/>
  <c r="I19" i="14" s="1"/>
  <c r="H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17" i="14" l="1"/>
  <c r="J27" i="14"/>
  <c r="M31" i="15"/>
  <c r="I27" i="14"/>
  <c r="P8" i="14"/>
  <c r="K27" i="14"/>
  <c r="H19" i="14"/>
  <c r="H27" i="14" s="1"/>
  <c r="P27" i="14" s="1"/>
  <c r="E28" i="16"/>
  <c r="E31" i="15"/>
  <c r="I31" i="15"/>
  <c r="P8" i="15"/>
  <c r="G31" i="15"/>
  <c r="P26" i="15"/>
  <c r="L27" i="14"/>
  <c r="P25" i="14"/>
  <c r="J31" i="15"/>
  <c r="P19" i="15"/>
  <c r="C31" i="15"/>
  <c r="K31" i="15"/>
  <c r="H31" i="15"/>
  <c r="P17" i="15"/>
  <c r="P19" i="14"/>
  <c r="F29" i="15"/>
  <c r="F31" i="15" s="1"/>
  <c r="P31" i="15" l="1"/>
  <c r="P29" i="15"/>
  <c r="C23" i="16"/>
  <c r="C17" i="16"/>
  <c r="P17" i="16" l="1"/>
  <c r="C19" i="16"/>
  <c r="C26" i="16"/>
  <c r="P26" i="16" s="1"/>
  <c r="P23" i="16"/>
  <c r="C28" i="16" l="1"/>
  <c r="P28" i="16" s="1"/>
  <c r="P19" i="16"/>
</calcChain>
</file>

<file path=xl/sharedStrings.xml><?xml version="1.0" encoding="utf-8"?>
<sst xmlns="http://schemas.openxmlformats.org/spreadsheetml/2006/main" count="126" uniqueCount="50">
  <si>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</si>
  <si>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</si>
  <si>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</si>
  <si>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</si>
  <si>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</si>
  <si>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</si>
  <si>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</si>
  <si>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</si>
  <si>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</si>
  <si>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</si>
  <si>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</si>
  <si>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</si>
  <si>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</si>
  <si>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</si>
  <si>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</si>
  <si>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</si>
  <si>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</si>
  <si>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</si>
  <si>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</si>
  <si>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</si>
  <si>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</si>
  <si>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</si>
  <si>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</si>
  <si>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</si>
  <si>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</si>
  <si>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</si>
  <si>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</si>
  <si>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</si>
  <si>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</si>
  <si>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</si>
  <si>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</si>
  <si>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</si>
  <si>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</si>
  <si>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</si>
  <si>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</si>
  <si>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</si>
  <si>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</si>
  <si>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</si>
  <si>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</si>
  <si>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</si>
  <si>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</si>
  <si>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(Juin 2023)</t>
  </si>
  <si>
    <t>TJM (Janvier 2024)</t>
  </si>
  <si>
    <t>Achat HT</t>
  </si>
  <si>
    <t>Frais KM annuel à payer</t>
  </si>
  <si>
    <t>Régularisation Frais KM</t>
  </si>
  <si>
    <t>Intéressement Net</t>
  </si>
  <si>
    <t>CSG/CRDS Intéressement</t>
  </si>
  <si>
    <t>Frais PEE Amundi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</si>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</sst>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4" fillId="4" borderId="2" xfId="0" applyNumberFormat="1" applyFont="1" applyFill="1" applyBorder="1"/>
    <xf numFmtId="0" fontId="11" fillId="0" borderId="5" xfId="0" applyFont="1" applyBorder="1" applyProtection="1">
      <protection locked="0"/>
    </xf>
    <xf numFmtId="4" fontId="12" fillId="4" borderId="5" xfId="0" applyNumberFormat="1" applyFont="1" applyFill="1" applyBorder="1"/>
    <xf numFmtId="4" fontId="11" fillId="0" borderId="0" xfId="0" applyNumberFormat="1" applyFont="1"/>
    <xf numFmtId="4" fontId="13" fillId="0" borderId="1" xfId="0" applyNumberFormat="1" applyFont="1" applyBorder="1" applyAlignment="1">
      <alignment horizontal="right"/>
    </xf>
    <xf numFmtId="0" fontId="11" fillId="0" borderId="0" xfId="0" applyFont="1"/>
    <xf numFmtId="0" fontId="10" fillId="0" borderId="5" xfId="0" applyFont="1" applyBorder="1" applyProtection="1">
      <protection locked="0"/>
    </xf>
    <xf numFmtId="4" fontId="14" fillId="4" borderId="5" xfId="0" applyNumberFormat="1" applyFont="1" applyFill="1" applyBorder="1"/>
    <xf numFmtId="4" fontId="1" fillId="0" borderId="1" xfId="0" applyNumberFormat="1" applyFont="1" applyBorder="1" applyAlignment="1">
      <alignment horizontal="right"/>
    </xf>
    <xf numFmtId="0" fontId="10" fillId="0" borderId="2" xfId="0" applyFont="1" applyBorder="1" applyProtection="1">
      <protection locked="0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opLeftCell="A4" workbookViewId="0">
      <selection activeCell="I37" sqref="I3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75" t="s">
        <v>9</v>
      </c>
    </row>
    <row r="2" spans="2:16" x14ac:dyDescent="0.3">
      <c r="B2" s="7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/>
      <c r="N6" s="37"/>
      <c r="O6" s="36"/>
      <c r="P6" s="57">
        <f>SUM(C6:N6)</f>
        <v>95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>
        <v>19</v>
      </c>
      <c r="I7" s="37">
        <v>15</v>
      </c>
      <c r="J7" s="37">
        <v>22</v>
      </c>
      <c r="K7" s="37">
        <v>20.5</v>
      </c>
      <c r="L7" s="37">
        <v>22</v>
      </c>
      <c r="M7" s="37"/>
      <c r="N7" s="37"/>
      <c r="O7" s="36"/>
      <c r="P7" s="57">
        <f>SUM(C7:N7)</f>
        <v>98.5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-4</v>
      </c>
      <c r="J8" s="63">
        <f t="shared" si="0"/>
        <v>3</v>
      </c>
      <c r="K8" s="63">
        <f t="shared" si="0"/>
        <v>1.5</v>
      </c>
      <c r="L8" s="63">
        <f t="shared" si="0"/>
        <v>3</v>
      </c>
      <c r="M8" s="63">
        <f t="shared" si="0"/>
        <v>0</v>
      </c>
      <c r="N8" s="63">
        <f t="shared" si="0"/>
        <v>0</v>
      </c>
      <c r="O8" s="36"/>
      <c r="P8" s="57">
        <f>SUM(C8:N8)</f>
        <v>3.5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>
        <v>19</v>
      </c>
      <c r="I11" s="11">
        <v>15</v>
      </c>
      <c r="J11" s="11">
        <v>22</v>
      </c>
      <c r="K11" s="11">
        <v>20.5</v>
      </c>
      <c r="L11" s="11">
        <v>22</v>
      </c>
      <c r="M11" s="11"/>
      <c r="N11" s="11"/>
      <c r="P11" s="58">
        <f>SUM(C11:N11)</f>
        <v>98.5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>
        <v>5</v>
      </c>
      <c r="J12" s="12"/>
      <c r="K12" s="12">
        <v>0.5</v>
      </c>
      <c r="L12" s="12"/>
      <c r="M12" s="12"/>
      <c r="N12" s="12"/>
      <c r="P12" s="58">
        <f>SUM(C12:N12)</f>
        <v>5.5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>
        <f>H11*Params!$C$5*(1-Params!$C$3)-Params!$C$4</f>
        <v>8665</v>
      </c>
      <c r="I17" s="10">
        <f>I11*Params!$C$5*(1-Params!$C$3)-Params!$C$4</f>
        <v>6825</v>
      </c>
      <c r="J17" s="10">
        <f>J11*Params!$C$5*(1-Params!$C$3)-Params!$C$4</f>
        <v>10045</v>
      </c>
      <c r="K17" s="10">
        <f>K11*Params!$C$5*(1-Params!$C$3)-Params!$C$4</f>
        <v>9355</v>
      </c>
      <c r="L17" s="10">
        <f>L11*Params!$C$5*(1-Params!$C$3)-Params!$C$4</f>
        <v>10045</v>
      </c>
      <c r="M17" s="10"/>
      <c r="N17" s="10"/>
      <c r="O17" s="4"/>
      <c r="P17" s="41">
        <f>SUM(C17:N17)</f>
        <v>44935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8665</v>
      </c>
      <c r="I19" s="28">
        <f t="shared" si="1"/>
        <v>6825</v>
      </c>
      <c r="J19" s="28">
        <f t="shared" si="1"/>
        <v>10045</v>
      </c>
      <c r="K19" s="28">
        <f t="shared" si="1"/>
        <v>9355</v>
      </c>
      <c r="L19" s="28">
        <f t="shared" si="1"/>
        <v>10045</v>
      </c>
      <c r="M19" s="28">
        <f t="shared" si="1"/>
        <v>0</v>
      </c>
      <c r="N19" s="28">
        <f t="shared" si="1"/>
        <v>0</v>
      </c>
      <c r="O19" s="5"/>
      <c r="P19" s="42">
        <f>SUM(C19:N19)</f>
        <v>44935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>
        <v>4625.4799999999996</v>
      </c>
      <c r="I22" s="10">
        <v>5245.9</v>
      </c>
      <c r="J22" s="10">
        <v>5245.9</v>
      </c>
      <c r="K22" s="10">
        <v>5245.9</v>
      </c>
      <c r="L22" s="10">
        <v>7426.22</v>
      </c>
      <c r="M22" s="10"/>
      <c r="N22" s="10"/>
      <c r="O22" s="4"/>
      <c r="P22" s="43">
        <f>SUM(C22:N22)</f>
        <v>27789.4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>
        <f>958.34+1624.34</f>
        <v>2582.6799999999998</v>
      </c>
      <c r="I23" s="10">
        <f>1084.46+1837.06</f>
        <v>2921.52</v>
      </c>
      <c r="J23" s="10">
        <f>1084.46+1850.2</f>
        <v>2934.66</v>
      </c>
      <c r="K23" s="10">
        <f>1084.46+1837.06</f>
        <v>2921.52</v>
      </c>
      <c r="L23" s="10">
        <f>1314.14+1852.84</f>
        <v>3166.98</v>
      </c>
      <c r="M23" s="10"/>
      <c r="N23" s="10"/>
      <c r="O23" s="4"/>
      <c r="P23" s="43">
        <f>SUM(C23:N23)</f>
        <v>14527.36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>
        <v>506.98</v>
      </c>
      <c r="I24" s="10">
        <v>421.3</v>
      </c>
      <c r="J24" s="10">
        <v>571.24</v>
      </c>
      <c r="K24" s="10">
        <v>549.82000000000005</v>
      </c>
      <c r="L24" s="10">
        <v>571.24</v>
      </c>
      <c r="M24" s="10"/>
      <c r="N24" s="10"/>
      <c r="O24" s="4"/>
      <c r="P24" s="43">
        <f>SUM(C24:N24)</f>
        <v>2620.58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7715.1399999999994</v>
      </c>
      <c r="I25" s="44">
        <f t="shared" si="2"/>
        <v>8588.7199999999993</v>
      </c>
      <c r="J25" s="44">
        <f t="shared" si="2"/>
        <v>8751.7999999999993</v>
      </c>
      <c r="K25" s="44">
        <f t="shared" si="2"/>
        <v>8717.24</v>
      </c>
      <c r="L25" s="44">
        <f t="shared" si="2"/>
        <v>11164.44</v>
      </c>
      <c r="M25" s="44">
        <f t="shared" si="2"/>
        <v>0</v>
      </c>
      <c r="N25" s="44">
        <f t="shared" si="2"/>
        <v>0</v>
      </c>
      <c r="O25" s="4"/>
      <c r="P25" s="60">
        <f>SUM(C25:N25)</f>
        <v>44937.34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949.86000000000058</v>
      </c>
      <c r="I27" s="47">
        <f t="shared" si="3"/>
        <v>-1763.7199999999993</v>
      </c>
      <c r="J27" s="47">
        <f t="shared" si="3"/>
        <v>1293.2000000000007</v>
      </c>
      <c r="K27" s="47">
        <f t="shared" si="3"/>
        <v>637.76000000000022</v>
      </c>
      <c r="L27" s="47">
        <f t="shared" si="3"/>
        <v>-1119.4400000000005</v>
      </c>
      <c r="M27" s="47">
        <f t="shared" si="3"/>
        <v>0</v>
      </c>
      <c r="N27" s="47">
        <f t="shared" si="3"/>
        <v>0</v>
      </c>
      <c r="P27" s="59">
        <f>SUM(C27:N27)</f>
        <v>-2.3399999999983265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>
        <v>1140</v>
      </c>
      <c r="I29" s="54">
        <v>900</v>
      </c>
      <c r="J29" s="54">
        <v>1320</v>
      </c>
      <c r="K29" s="54">
        <v>1260</v>
      </c>
      <c r="L29" s="54">
        <v>1320</v>
      </c>
      <c r="M29" s="54"/>
      <c r="N29" s="54"/>
      <c r="P29" s="61">
        <f>SUM(C29:N29)</f>
        <v>5940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>
        <v>506.98</v>
      </c>
      <c r="I30" s="54">
        <v>421.3</v>
      </c>
      <c r="J30" s="54">
        <v>571.24</v>
      </c>
      <c r="K30" s="54">
        <v>549.82000000000005</v>
      </c>
      <c r="L30" s="54">
        <v>571.24</v>
      </c>
      <c r="M30" s="54"/>
      <c r="N30" s="54"/>
      <c r="P30" s="61">
        <f>SUM(C30:N30)</f>
        <v>2620.58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4CC6D-91F3-4DD5-BB50-A8B0F6941A21}">
  <dimension ref="B1:P37"/>
  <sheetViews>
    <sheetView workbookViewId="0">
      <selection activeCell="L31" sqref="L31:N31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75" t="s">
        <v>9</v>
      </c>
    </row>
    <row r="2" spans="2:16" x14ac:dyDescent="0.3">
      <c r="B2" s="7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2</v>
      </c>
      <c r="D6" s="35">
        <v>10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202</v>
      </c>
    </row>
    <row r="7" spans="2:16" x14ac:dyDescent="0.3">
      <c r="B7" s="9" t="s">
        <v>21</v>
      </c>
      <c r="C7" s="37">
        <v>2</v>
      </c>
      <c r="D7" s="37">
        <v>10</v>
      </c>
      <c r="E7" s="37">
        <v>21</v>
      </c>
      <c r="F7" s="37">
        <v>21</v>
      </c>
      <c r="G7" s="37">
        <v>18</v>
      </c>
      <c r="H7" s="37">
        <v>20</v>
      </c>
      <c r="I7" s="37">
        <v>23</v>
      </c>
      <c r="J7" s="37">
        <v>18</v>
      </c>
      <c r="K7" s="37">
        <v>19</v>
      </c>
      <c r="L7" s="37">
        <v>23</v>
      </c>
      <c r="M7" s="37">
        <v>18</v>
      </c>
      <c r="N7" s="37">
        <v>20</v>
      </c>
      <c r="O7" s="36"/>
      <c r="P7" s="57">
        <f>SUM(C7:N7)</f>
        <v>213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2</v>
      </c>
      <c r="F8" s="63">
        <f t="shared" si="0"/>
        <v>2</v>
      </c>
      <c r="G8" s="63">
        <f t="shared" si="0"/>
        <v>-1</v>
      </c>
      <c r="H8" s="63">
        <f t="shared" si="0"/>
        <v>1</v>
      </c>
      <c r="I8" s="63">
        <f t="shared" si="0"/>
        <v>4</v>
      </c>
      <c r="J8" s="63">
        <f t="shared" si="0"/>
        <v>-1</v>
      </c>
      <c r="K8" s="63">
        <f t="shared" si="0"/>
        <v>0</v>
      </c>
      <c r="L8" s="63">
        <f t="shared" si="0"/>
        <v>4</v>
      </c>
      <c r="M8" s="63">
        <f t="shared" si="0"/>
        <v>-1</v>
      </c>
      <c r="N8" s="63">
        <f t="shared" si="0"/>
        <v>1</v>
      </c>
      <c r="O8" s="36"/>
      <c r="P8" s="57">
        <f>SUM(C8:N8)</f>
        <v>11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</v>
      </c>
      <c r="D11" s="11">
        <v>10</v>
      </c>
      <c r="E11" s="11">
        <v>21</v>
      </c>
      <c r="F11" s="11">
        <v>21</v>
      </c>
      <c r="G11" s="11">
        <v>18</v>
      </c>
      <c r="H11" s="11">
        <v>20</v>
      </c>
      <c r="I11" s="11">
        <v>23</v>
      </c>
      <c r="J11" s="11">
        <v>18</v>
      </c>
      <c r="K11" s="11">
        <v>19</v>
      </c>
      <c r="L11" s="11">
        <v>23</v>
      </c>
      <c r="M11" s="11">
        <v>18.5</v>
      </c>
      <c r="N11" s="11">
        <v>20.5</v>
      </c>
      <c r="P11" s="58">
        <f>SUM(C11:N11)</f>
        <v>214</v>
      </c>
    </row>
    <row r="12" spans="2:16" x14ac:dyDescent="0.3">
      <c r="B12" s="9" t="s">
        <v>16</v>
      </c>
      <c r="C12" s="12"/>
      <c r="D12" s="12">
        <v>3</v>
      </c>
      <c r="E12" s="12"/>
      <c r="F12" s="12"/>
      <c r="G12" s="12">
        <v>1</v>
      </c>
      <c r="H12" s="12"/>
      <c r="I12" s="12"/>
      <c r="J12" s="12">
        <v>3</v>
      </c>
      <c r="K12" s="12">
        <v>2</v>
      </c>
      <c r="L12" s="12"/>
      <c r="M12" s="12">
        <v>0.5</v>
      </c>
      <c r="N12" s="12">
        <v>0.5</v>
      </c>
      <c r="P12" s="58">
        <f>SUM(C12:N12)</f>
        <v>10</v>
      </c>
    </row>
    <row r="13" spans="2:16" x14ac:dyDescent="0.3">
      <c r="B13" s="9" t="s">
        <v>17</v>
      </c>
      <c r="C13" s="12"/>
      <c r="D13" s="12">
        <v>8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8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937</v>
      </c>
      <c r="D17" s="10">
        <f>D11*Params!$C$6*(1-Params!$C$3)-Params!$C$4</f>
        <v>4985</v>
      </c>
      <c r="E17" s="10">
        <f>E11*Params!$C$6*(1-Params!$C$3)-Params!$C$4</f>
        <v>10551</v>
      </c>
      <c r="F17" s="10">
        <f>F11*Params!$C$6*(1-Params!$C$3)-Params!$C$4</f>
        <v>10551</v>
      </c>
      <c r="G17" s="10">
        <f>G11*Params!$C$6*(1-Params!$C$3)-Params!$C$4</f>
        <v>9033</v>
      </c>
      <c r="H17" s="10">
        <f>H11*Params!$C$6*(1-Params!$C$3)-Params!$C$4</f>
        <v>10045</v>
      </c>
      <c r="I17" s="10">
        <f>I11*Params!$C$6*(1-Params!$C$3)-Params!$C$4</f>
        <v>11563</v>
      </c>
      <c r="J17" s="10">
        <f>J11*Params!$C$6*(1-Params!$C$3)-Params!$C$4</f>
        <v>9033</v>
      </c>
      <c r="K17" s="10">
        <f>K11*Params!$C$6*(1-Params!$C$3)-Params!$C$4</f>
        <v>9539</v>
      </c>
      <c r="L17" s="10">
        <f>L11*Params!$C$6*(1-Params!$C$3)-Params!$C$4</f>
        <v>11563</v>
      </c>
      <c r="M17" s="10">
        <f>M11*Params!$C$6*(1-Params!$C$3)-Params!$C$4</f>
        <v>9286</v>
      </c>
      <c r="N17" s="10">
        <f>N11*Params!$C$6*(1-Params!$C$3)-Params!$C$4</f>
        <v>10298</v>
      </c>
      <c r="O17" s="4"/>
      <c r="P17" s="41">
        <f>SUM(C17:N17)</f>
        <v>107384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937</v>
      </c>
      <c r="D19" s="28">
        <f t="shared" si="1"/>
        <v>4985</v>
      </c>
      <c r="E19" s="28">
        <f t="shared" si="1"/>
        <v>10551</v>
      </c>
      <c r="F19" s="28">
        <f t="shared" si="1"/>
        <v>10551</v>
      </c>
      <c r="G19" s="28">
        <f t="shared" si="1"/>
        <v>9033</v>
      </c>
      <c r="H19" s="28">
        <f t="shared" si="1"/>
        <v>10045</v>
      </c>
      <c r="I19" s="28">
        <f t="shared" si="1"/>
        <v>11563</v>
      </c>
      <c r="J19" s="28">
        <f t="shared" si="1"/>
        <v>9033</v>
      </c>
      <c r="K19" s="28">
        <f t="shared" si="1"/>
        <v>9539</v>
      </c>
      <c r="L19" s="28">
        <f t="shared" si="1"/>
        <v>11563</v>
      </c>
      <c r="M19" s="28">
        <f t="shared" si="1"/>
        <v>9286</v>
      </c>
      <c r="N19" s="28">
        <f t="shared" si="1"/>
        <v>10298</v>
      </c>
      <c r="O19" s="5"/>
      <c r="P19" s="42">
        <f>SUM(C19:N19)</f>
        <v>107384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502.85</v>
      </c>
      <c r="D22" s="10">
        <v>2721.51</v>
      </c>
      <c r="E22" s="10">
        <v>4374.1400000000003</v>
      </c>
      <c r="F22" s="10">
        <v>4374.1400000000003</v>
      </c>
      <c r="G22" s="10">
        <v>4374.1400000000003</v>
      </c>
      <c r="H22" s="10">
        <v>4374.1400000000003</v>
      </c>
      <c r="I22" s="10">
        <v>4374.1400000000003</v>
      </c>
      <c r="J22" s="10">
        <v>4374.1400000000003</v>
      </c>
      <c r="K22" s="10">
        <v>4374.1400000000003</v>
      </c>
      <c r="L22" s="10">
        <v>4374.1400000000003</v>
      </c>
      <c r="M22" s="10">
        <v>4374.1400000000003</v>
      </c>
      <c r="N22" s="10">
        <v>4374.1400000000003</v>
      </c>
      <c r="O22" s="4"/>
      <c r="P22" s="43">
        <f>SUM(C22:N22)</f>
        <v>46965.759999999995</v>
      </c>
    </row>
    <row r="23" spans="2:16" s="70" customFormat="1" x14ac:dyDescent="0.3">
      <c r="B23" s="66" t="s">
        <v>46</v>
      </c>
      <c r="C23" s="67"/>
      <c r="D23" s="67">
        <f>(3412.84/5)*(1-9.7%)</f>
        <v>616.35890400000005</v>
      </c>
      <c r="E23" s="67">
        <f>(5440.58/5)*(1-9.7%)</f>
        <v>982.56874800000003</v>
      </c>
      <c r="F23" s="67">
        <f>(5440.58/5)*(1-9.7%)</f>
        <v>982.56874800000003</v>
      </c>
      <c r="G23" s="67">
        <f t="shared" ref="G23:N23" si="2">(5440.58/5)*(1-9.7%)</f>
        <v>982.56874800000003</v>
      </c>
      <c r="H23" s="67">
        <f t="shared" si="2"/>
        <v>982.56874800000003</v>
      </c>
      <c r="I23" s="67">
        <f t="shared" si="2"/>
        <v>982.56874800000003</v>
      </c>
      <c r="J23" s="67">
        <f t="shared" si="2"/>
        <v>982.56874800000003</v>
      </c>
      <c r="K23" s="67">
        <f t="shared" si="2"/>
        <v>982.56874800000003</v>
      </c>
      <c r="L23" s="67">
        <f t="shared" si="2"/>
        <v>982.56874800000003</v>
      </c>
      <c r="M23" s="67">
        <f t="shared" si="2"/>
        <v>982.56874800000003</v>
      </c>
      <c r="N23" s="67">
        <f t="shared" si="2"/>
        <v>982.56874800000003</v>
      </c>
      <c r="O23" s="68"/>
      <c r="P23" s="69">
        <f t="shared" ref="P23:P25" si="3">SUM(C23:N23)</f>
        <v>10442.046383999999</v>
      </c>
    </row>
    <row r="24" spans="2:16" x14ac:dyDescent="0.3">
      <c r="B24" s="71" t="s">
        <v>47</v>
      </c>
      <c r="C24" s="72"/>
      <c r="D24" s="72">
        <f>(3412.84/5)*9.7%</f>
        <v>66.209095999999988</v>
      </c>
      <c r="E24" s="72">
        <f>(5440.58/5)*9.7%</f>
        <v>105.54725199999999</v>
      </c>
      <c r="F24" s="72">
        <f>(5440.58/5)*9.7%</f>
        <v>105.54725199999999</v>
      </c>
      <c r="G24" s="72">
        <f t="shared" ref="G24:N24" si="4">(5440.58/5)*9.7%</f>
        <v>105.54725199999999</v>
      </c>
      <c r="H24" s="72">
        <f t="shared" si="4"/>
        <v>105.54725199999999</v>
      </c>
      <c r="I24" s="72">
        <f t="shared" si="4"/>
        <v>105.54725199999999</v>
      </c>
      <c r="J24" s="72">
        <f t="shared" si="4"/>
        <v>105.54725199999999</v>
      </c>
      <c r="K24" s="72">
        <f t="shared" si="4"/>
        <v>105.54725199999999</v>
      </c>
      <c r="L24" s="72">
        <f t="shared" si="4"/>
        <v>105.54725199999999</v>
      </c>
      <c r="M24" s="72">
        <f t="shared" si="4"/>
        <v>105.54725199999999</v>
      </c>
      <c r="N24" s="72">
        <f t="shared" si="4"/>
        <v>105.54725199999999</v>
      </c>
      <c r="O24" s="4"/>
      <c r="P24" s="73">
        <f t="shared" si="3"/>
        <v>1121.6816159999996</v>
      </c>
    </row>
    <row r="25" spans="2:16" ht="15" customHeight="1" x14ac:dyDescent="0.3">
      <c r="B25" s="74" t="s">
        <v>48</v>
      </c>
      <c r="C25" s="72"/>
      <c r="D25" s="72">
        <f t="shared" ref="D25:N25" si="5">D23*0.02</f>
        <v>12.327178080000001</v>
      </c>
      <c r="E25" s="72">
        <f t="shared" si="5"/>
        <v>19.651374960000002</v>
      </c>
      <c r="F25" s="72">
        <f t="shared" si="5"/>
        <v>19.651374960000002</v>
      </c>
      <c r="G25" s="72">
        <f t="shared" si="5"/>
        <v>19.651374960000002</v>
      </c>
      <c r="H25" s="72">
        <f t="shared" si="5"/>
        <v>19.651374960000002</v>
      </c>
      <c r="I25" s="72">
        <f t="shared" si="5"/>
        <v>19.651374960000002</v>
      </c>
      <c r="J25" s="72">
        <f t="shared" si="5"/>
        <v>19.651374960000002</v>
      </c>
      <c r="K25" s="72">
        <f t="shared" si="5"/>
        <v>19.651374960000002</v>
      </c>
      <c r="L25" s="72">
        <f t="shared" si="5"/>
        <v>19.651374960000002</v>
      </c>
      <c r="M25" s="72">
        <f t="shared" si="5"/>
        <v>19.651374960000002</v>
      </c>
      <c r="N25" s="72">
        <f t="shared" si="5"/>
        <v>19.651374960000002</v>
      </c>
      <c r="O25" s="4"/>
      <c r="P25" s="73">
        <f t="shared" si="3"/>
        <v>208.84092767999999</v>
      </c>
    </row>
    <row r="26" spans="2:16" x14ac:dyDescent="0.3">
      <c r="B26" s="9" t="s">
        <v>8</v>
      </c>
      <c r="C26" s="10">
        <f>102.43+204.17</f>
        <v>306.60000000000002</v>
      </c>
      <c r="D26" s="10">
        <f>691.33+1433.58</f>
        <v>2124.91</v>
      </c>
      <c r="E26" s="10">
        <f>1066.44+2261.23</f>
        <v>3327.67</v>
      </c>
      <c r="F26" s="10">
        <f>1066.44+2256.04</f>
        <v>3322.48</v>
      </c>
      <c r="G26" s="10">
        <f>1066.44+2280.53</f>
        <v>3346.9700000000003</v>
      </c>
      <c r="H26" s="10">
        <f>1066.44+2282.25</f>
        <v>3348.69</v>
      </c>
      <c r="I26" s="10">
        <f>1066.44+2283.25</f>
        <v>3349.69</v>
      </c>
      <c r="J26" s="10">
        <f>1066.44+2283.25</f>
        <v>3349.69</v>
      </c>
      <c r="K26" s="10">
        <f>1066.44+2288.44</f>
        <v>3354.88</v>
      </c>
      <c r="L26" s="10">
        <f>1066.44+2286.71</f>
        <v>3353.15</v>
      </c>
      <c r="M26" s="10">
        <f>1066.44+2283.25</f>
        <v>3349.69</v>
      </c>
      <c r="N26" s="10">
        <f>1066.44+2284.12</f>
        <v>3350.56</v>
      </c>
      <c r="O26" s="4"/>
      <c r="P26" s="43">
        <f>SUM(C26:N26)</f>
        <v>35884.980000000003</v>
      </c>
    </row>
    <row r="27" spans="2:16" x14ac:dyDescent="0.3">
      <c r="B27" s="55" t="s">
        <v>40</v>
      </c>
      <c r="C27" s="10">
        <v>155.69200000000001</v>
      </c>
      <c r="D27" s="10">
        <v>378.46</v>
      </c>
      <c r="E27" s="10">
        <v>684.76599999999996</v>
      </c>
      <c r="F27" s="10">
        <v>684.76599999999996</v>
      </c>
      <c r="G27" s="10">
        <v>601.22799999999995</v>
      </c>
      <c r="H27" s="10">
        <v>656.92</v>
      </c>
      <c r="I27" s="10">
        <v>740.45799999999997</v>
      </c>
      <c r="J27" s="10">
        <v>601.22799999999995</v>
      </c>
      <c r="K27" s="10">
        <v>629.07399999999996</v>
      </c>
      <c r="L27" s="10">
        <v>740.45799999999997</v>
      </c>
      <c r="M27" s="10">
        <v>629.07399999999996</v>
      </c>
      <c r="N27" s="10">
        <v>879.76599999999996</v>
      </c>
      <c r="O27" s="4"/>
      <c r="P27" s="43">
        <f>SUM(C27:N27)</f>
        <v>7381.8899999999985</v>
      </c>
    </row>
    <row r="28" spans="2:16" x14ac:dyDescent="0.3">
      <c r="B28" s="55" t="s">
        <v>43</v>
      </c>
      <c r="C28" s="65"/>
      <c r="D28" s="65">
        <v>1324.17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4"/>
      <c r="P28" s="43">
        <f>SUM(C28:N28)</f>
        <v>1324.17</v>
      </c>
    </row>
    <row r="29" spans="2:16" x14ac:dyDescent="0.3">
      <c r="B29" s="8" t="s">
        <v>3</v>
      </c>
      <c r="C29" s="44">
        <f>SUM(C22:C27)</f>
        <v>965.14200000000005</v>
      </c>
      <c r="D29" s="44">
        <f t="shared" ref="D29:N29" si="6">SUM(D22:D28)</f>
        <v>7243.94517808</v>
      </c>
      <c r="E29" s="44">
        <f t="shared" si="6"/>
        <v>9494.3433749600008</v>
      </c>
      <c r="F29" s="44">
        <f t="shared" si="6"/>
        <v>9489.1533749600003</v>
      </c>
      <c r="G29" s="44">
        <f t="shared" si="6"/>
        <v>9430.1053749599996</v>
      </c>
      <c r="H29" s="44">
        <f t="shared" si="6"/>
        <v>9487.5173749599999</v>
      </c>
      <c r="I29" s="44">
        <f t="shared" si="6"/>
        <v>9572.0553749600003</v>
      </c>
      <c r="J29" s="44">
        <f t="shared" si="6"/>
        <v>9432.825374959999</v>
      </c>
      <c r="K29" s="44">
        <f t="shared" si="6"/>
        <v>9465.8613749600008</v>
      </c>
      <c r="L29" s="44">
        <f t="shared" si="6"/>
        <v>9575.5153749600013</v>
      </c>
      <c r="M29" s="44">
        <f t="shared" si="6"/>
        <v>9460.6713749600003</v>
      </c>
      <c r="N29" s="44">
        <f t="shared" si="6"/>
        <v>9712.2333749600002</v>
      </c>
      <c r="O29" s="4"/>
      <c r="P29" s="60">
        <f>SUM(C29:N29)</f>
        <v>103329.36892768001</v>
      </c>
    </row>
    <row r="30" spans="2:16" x14ac:dyDescent="0.3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">
      <c r="B31" s="46" t="s">
        <v>36</v>
      </c>
      <c r="C31" s="47">
        <f t="shared" ref="C31:N31" si="7">C19-C29</f>
        <v>-28.142000000000053</v>
      </c>
      <c r="D31" s="47">
        <f t="shared" si="7"/>
        <v>-2258.94517808</v>
      </c>
      <c r="E31" s="47">
        <f t="shared" si="7"/>
        <v>1056.6566250399992</v>
      </c>
      <c r="F31" s="47">
        <f t="shared" si="7"/>
        <v>1061.8466250399997</v>
      </c>
      <c r="G31" s="47">
        <f t="shared" si="7"/>
        <v>-397.10537495999961</v>
      </c>
      <c r="H31" s="47">
        <f t="shared" si="7"/>
        <v>557.48262504000013</v>
      </c>
      <c r="I31" s="47">
        <f t="shared" si="7"/>
        <v>1990.9446250399997</v>
      </c>
      <c r="J31" s="47">
        <f t="shared" si="7"/>
        <v>-399.82537495999895</v>
      </c>
      <c r="K31" s="47">
        <f t="shared" si="7"/>
        <v>73.13862503999917</v>
      </c>
      <c r="L31" s="47">
        <f t="shared" si="7"/>
        <v>1987.4846250399987</v>
      </c>
      <c r="M31" s="47">
        <f t="shared" si="7"/>
        <v>-174.67137496000032</v>
      </c>
      <c r="N31" s="47">
        <f t="shared" si="7"/>
        <v>585.76662503999978</v>
      </c>
      <c r="P31" s="59">
        <f>SUM(C31:N31)</f>
        <v>4054.6310723199977</v>
      </c>
    </row>
    <row r="33" spans="2:16" x14ac:dyDescent="0.3">
      <c r="B33" s="62" t="s">
        <v>37</v>
      </c>
      <c r="C33" s="54">
        <v>156</v>
      </c>
      <c r="D33" s="54">
        <v>780</v>
      </c>
      <c r="E33" s="54">
        <v>1638</v>
      </c>
      <c r="F33" s="54">
        <v>1638</v>
      </c>
      <c r="G33" s="54">
        <v>1404</v>
      </c>
      <c r="H33" s="54">
        <v>1560</v>
      </c>
      <c r="I33" s="54">
        <v>1794</v>
      </c>
      <c r="J33" s="54">
        <v>1404</v>
      </c>
      <c r="K33" s="54">
        <v>1482</v>
      </c>
      <c r="L33" s="54">
        <v>1794</v>
      </c>
      <c r="M33" s="54">
        <v>1482</v>
      </c>
      <c r="N33" s="54">
        <v>1638</v>
      </c>
      <c r="P33" s="61">
        <f>SUM(C33:N33)</f>
        <v>16770</v>
      </c>
    </row>
    <row r="34" spans="2:16" x14ac:dyDescent="0.3">
      <c r="B34" s="62" t="s">
        <v>38</v>
      </c>
      <c r="C34" s="54">
        <v>155.69200000000001</v>
      </c>
      <c r="D34" s="54">
        <v>378.46</v>
      </c>
      <c r="E34" s="54">
        <v>684.76599999999996</v>
      </c>
      <c r="F34" s="54">
        <v>684.76599999999996</v>
      </c>
      <c r="G34" s="54">
        <v>601.22799999999995</v>
      </c>
      <c r="H34" s="54">
        <v>656.92</v>
      </c>
      <c r="I34" s="54">
        <v>740.45799999999997</v>
      </c>
      <c r="J34" s="54">
        <v>601.22799999999995</v>
      </c>
      <c r="K34" s="54">
        <v>629.07399999999996</v>
      </c>
      <c r="L34" s="54">
        <v>740.45799999999997</v>
      </c>
      <c r="M34" s="54">
        <v>629.07399999999996</v>
      </c>
      <c r="N34" s="54">
        <v>879.76599999999996</v>
      </c>
      <c r="P34" s="61">
        <f>SUM(C34:N34)</f>
        <v>7381.8899999999985</v>
      </c>
    </row>
    <row r="36" spans="2:16" x14ac:dyDescent="0.3">
      <c r="N36" s="54" t="s">
        <v>44</v>
      </c>
      <c r="P36" s="61">
        <f>(P33*0.357) + 1395</f>
        <v>7381.8899999999994</v>
      </c>
    </row>
    <row r="37" spans="2:16" x14ac:dyDescent="0.3">
      <c r="N37" s="54" t="s">
        <v>45</v>
      </c>
      <c r="P37" s="61">
        <f>P36-P34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0BEC7-77F5-4FBE-BA10-31EFEA6A3A59}">
  <dimension ref="B1:P34"/>
  <sheetViews>
    <sheetView workbookViewId="0">
      <selection activeCell="C26" sqref="C26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75" t="s">
        <v>9</v>
      </c>
    </row>
    <row r="2" spans="2:16" x14ac:dyDescent="0.3">
      <c r="B2" s="7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19</v>
      </c>
    </row>
    <row r="7" spans="2:16" x14ac:dyDescent="0.3">
      <c r="B7" s="9" t="s">
        <v>21</v>
      </c>
      <c r="C7" s="37">
        <v>21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21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21</v>
      </c>
    </row>
    <row r="12" spans="2:16" x14ac:dyDescent="0.3">
      <c r="B12" s="9" t="s">
        <v>16</v>
      </c>
      <c r="C12" s="12">
        <v>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1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10551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10551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10551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10551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5355.23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5355.23</v>
      </c>
    </row>
    <row r="23" spans="2:16" x14ac:dyDescent="0.3">
      <c r="B23" s="9" t="s">
        <v>8</v>
      </c>
      <c r="C23" s="10">
        <f>1178.03+2290.47</f>
        <v>3468.5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3468.5</v>
      </c>
    </row>
    <row r="24" spans="2:16" x14ac:dyDescent="0.3">
      <c r="B24" s="55" t="s">
        <v>40</v>
      </c>
      <c r="C24" s="10">
        <v>684.76599999999996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684.76599999999996</v>
      </c>
    </row>
    <row r="25" spans="2:16" x14ac:dyDescent="0.3">
      <c r="B25" s="55" t="s">
        <v>43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4"/>
      <c r="P25" s="43">
        <f>SUM(C25:N25)</f>
        <v>0</v>
      </c>
    </row>
    <row r="26" spans="2:16" x14ac:dyDescent="0.3">
      <c r="B26" s="8" t="s">
        <v>3</v>
      </c>
      <c r="C26" s="44">
        <f>SUM(C22:C24)</f>
        <v>9508.4959999999992</v>
      </c>
      <c r="D26" s="44">
        <f>SUM(D22:D25)</f>
        <v>0</v>
      </c>
      <c r="E26" s="44">
        <f>SUM(E22:E25)</f>
        <v>0</v>
      </c>
      <c r="F26" s="44">
        <f>SUM(F22:F25)</f>
        <v>0</v>
      </c>
      <c r="G26" s="44">
        <f>SUM(G22:G25)</f>
        <v>0</v>
      </c>
      <c r="H26" s="44">
        <f>SUM(H22:H25)</f>
        <v>0</v>
      </c>
      <c r="I26" s="44">
        <f>SUM(I22:I25)</f>
        <v>0</v>
      </c>
      <c r="J26" s="44">
        <f>SUM(J22:J25)</f>
        <v>0</v>
      </c>
      <c r="K26" s="44">
        <f>SUM(K22:K25)</f>
        <v>0</v>
      </c>
      <c r="L26" s="44">
        <f>SUM(L22:L25)</f>
        <v>0</v>
      </c>
      <c r="M26" s="44">
        <f>SUM(M22:M25)</f>
        <v>0</v>
      </c>
      <c r="N26" s="44">
        <f>SUM(N22:N25)</f>
        <v>0</v>
      </c>
      <c r="O26" s="4"/>
      <c r="P26" s="60">
        <f>SUM(C26:N26)</f>
        <v>9508.4959999999992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>C19-C26</f>
        <v>1042.5040000000008</v>
      </c>
      <c r="D28" s="47">
        <f>D19-D26</f>
        <v>0</v>
      </c>
      <c r="E28" s="47">
        <f>E19-E26</f>
        <v>0</v>
      </c>
      <c r="F28" s="47">
        <f>F19-F26</f>
        <v>0</v>
      </c>
      <c r="G28" s="47">
        <f>G19-G26</f>
        <v>0</v>
      </c>
      <c r="H28" s="47">
        <f>H19-H26</f>
        <v>0</v>
      </c>
      <c r="I28" s="47">
        <f>I19-I26</f>
        <v>0</v>
      </c>
      <c r="J28" s="47">
        <f>J19-J26</f>
        <v>0</v>
      </c>
      <c r="K28" s="47">
        <f>K19-K26</f>
        <v>0</v>
      </c>
      <c r="L28" s="47">
        <f>L19-L26</f>
        <v>0</v>
      </c>
      <c r="M28" s="47">
        <f>M19-M26</f>
        <v>0</v>
      </c>
      <c r="N28" s="47">
        <f>N19-N26</f>
        <v>0</v>
      </c>
      <c r="P28" s="59">
        <f>SUM(C28:N28)</f>
        <v>1042.5040000000008</v>
      </c>
    </row>
    <row r="30" spans="2:16" x14ac:dyDescent="0.3">
      <c r="B30" s="62" t="s">
        <v>37</v>
      </c>
      <c r="C30" s="54">
        <v>1638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1638</v>
      </c>
    </row>
    <row r="31" spans="2:16" x14ac:dyDescent="0.3">
      <c r="B31" s="62" t="s">
        <v>38</v>
      </c>
      <c r="C31" s="54">
        <v>684.76599999999996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684.76599999999996</v>
      </c>
    </row>
    <row r="33" spans="14:16" x14ac:dyDescent="0.3">
      <c r="N33" s="54" t="s">
        <v>44</v>
      </c>
      <c r="P33" s="61">
        <f>(P30*0.357) + 1395</f>
        <v>1979.7660000000001</v>
      </c>
    </row>
    <row r="34" spans="14:16" x14ac:dyDescent="0.3">
      <c r="N34" s="54" t="s">
        <v>45</v>
      </c>
      <c r="P34" s="61">
        <f>P33-P31</f>
        <v>1295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7" t="s">
        <v>23</v>
      </c>
      <c r="C2" s="78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500</v>
      </c>
    </row>
    <row r="6" spans="2:3" ht="31.2" customHeight="1" x14ac:dyDescent="0.3">
      <c r="B6" s="64" t="s">
        <v>42</v>
      </c>
      <c r="C6" s="33">
        <v>550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9" t="s">
        <v>33</v>
      </c>
      <c r="C2" s="79"/>
    </row>
    <row r="3" spans="2:3" ht="16.95" customHeight="1" x14ac:dyDescent="0.3">
      <c r="B3" s="38" t="s">
        <v>34</v>
      </c>
      <c r="C3" s="39">
        <f>'2024'!P31+'2025'!P28</f>
        <v>5097.1350723199985</v>
      </c>
    </row>
    <row r="4" spans="2:3" ht="16.95" customHeight="1" x14ac:dyDescent="0.3">
      <c r="B4" s="38" t="s">
        <v>39</v>
      </c>
      <c r="C4" s="40">
        <f>'2024'!P12+'2025'!P12</f>
        <v>11</v>
      </c>
    </row>
    <row r="5" spans="2:3" x14ac:dyDescent="0.3">
      <c r="B5" t="s">
        <v>49</v>
      </c>
      <c r="C5">
        <f>(12*2.08)-C4</f>
        <v>13.96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2025-02-06T12:18:10Z</dcterms:modified>
</cp:coreProperties>
</file>