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HighskillTools\Data\Suivi\2025\01\Normal\"/>
    </mc:Choice>
  </mc:AlternateContent>
  <xr:revisionPtr revIDLastSave="0" documentId="13_ncr:1_{B4F5CF20-2918-423C-B3DF-576424DA7302}" xr6:coauthVersionLast="47" xr6:coauthVersionMax="47" xr10:uidLastSave="{00000000-0000-0000-0000-000000000000}"/>
  <bookViews>
    <workbookView xWindow="-108" yWindow="-108" windowWidth="23256" windowHeight="14856" activeTab="2" xr2:uid="{00000000-000D-0000-FFFF-FFFF00000000}"/>
  </bookViews>
  <sheets>
    <sheet name="2023" sheetId="14" r:id="rId1"/>
    <sheet name="2024" sheetId="15" r:id="rId2"/>
    <sheet name="2025" sheetId="16" r:id="rId3"/>
    <sheet name="Params" sheetId="10" r:id="rId4"/>
    <sheet name="Synthése" sheetId="13" r:id="rId5"/>
  </sheets>
  <definedNames>
    <definedName name="AOUT" localSheetId="0">'2023'!$J$3</definedName>
    <definedName name="AOUT" localSheetId="1">'2024'!$J$3</definedName>
    <definedName name="AOUT" localSheetId="2">'2025'!$J$3</definedName>
    <definedName name="AOUT">#REF!</definedName>
    <definedName name="AVANCE_SUR_SALAIRE" localSheetId="0">'2023'!#REF!</definedName>
    <definedName name="AVANCE_SUR_SALAIRE" localSheetId="1">'2024'!#REF!</definedName>
    <definedName name="AVANCE_SUR_SALAIRE" localSheetId="2">'2025'!#REF!</definedName>
    <definedName name="AVANCE_SUR_SALAIRE">#REF!</definedName>
    <definedName name="AVRIL" localSheetId="0">'2023'!$F$3</definedName>
    <definedName name="AVRIL" localSheetId="1">'2024'!$F$3</definedName>
    <definedName name="AVRIL" localSheetId="2">'2025'!$F$3</definedName>
    <definedName name="AVRIL">#REF!</definedName>
    <definedName name="CRA" localSheetId="0">'2023'!$B$10</definedName>
    <definedName name="CRA" localSheetId="1">'2024'!$B$10</definedName>
    <definedName name="CRA" localSheetId="2">'2025'!$B$10</definedName>
    <definedName name="CRA">#REF!</definedName>
    <definedName name="CRA_ASTREINTE" localSheetId="0">'2023'!$B$14</definedName>
    <definedName name="CRA_ASTREINTE" localSheetId="1">'2024'!$B$14</definedName>
    <definedName name="CRA_ASTREINTE" localSheetId="2">'2025'!$B$14</definedName>
    <definedName name="CRA_ASTREINTE">#REF!</definedName>
    <definedName name="CRA_CP" localSheetId="0">'2023'!$B$12</definedName>
    <definedName name="CRA_CP" localSheetId="1">'2024'!$B$12</definedName>
    <definedName name="CRA_CP" localSheetId="2">'2025'!$B$12</definedName>
    <definedName name="CRA_CP">#REF!</definedName>
    <definedName name="CRA_PRODUCTION" localSheetId="0">'2023'!$B$11</definedName>
    <definedName name="CRA_PRODUCTION" localSheetId="1">'2024'!$B$11</definedName>
    <definedName name="CRA_PRODUCTION" localSheetId="2">'2025'!$B$11</definedName>
    <definedName name="CRA_PRODUCTION">#REF!</definedName>
    <definedName name="CRA_SANS_SOLDE" localSheetId="0">'2023'!$B$13</definedName>
    <definedName name="CRA_SANS_SOLDE" localSheetId="1">'2024'!$B$13</definedName>
    <definedName name="CRA_SANS_SOLDE" localSheetId="2">'2025'!$B$13</definedName>
    <definedName name="CRA_SANS_SOLDE">#REF!</definedName>
    <definedName name="DECEMBRE" localSheetId="0">'2023'!$N$3</definedName>
    <definedName name="DECEMBRE" localSheetId="1">'2024'!$N$3</definedName>
    <definedName name="DECEMBRE" localSheetId="2">'2025'!$N$3</definedName>
    <definedName name="DECEMBRE">#REF!</definedName>
    <definedName name="ENTREES" localSheetId="0">'2023'!$B$16</definedName>
    <definedName name="ENTREES" localSheetId="1">'2024'!$B$16</definedName>
    <definedName name="ENTREES" localSheetId="2">'2025'!$B$16</definedName>
    <definedName name="ENTREES">#REF!</definedName>
    <definedName name="ENTREES_ASTREINTE" localSheetId="0">'2023'!$B$18</definedName>
    <definedName name="ENTREES_ASTREINTE" localSheetId="1">'2024'!$B$18</definedName>
    <definedName name="ENTREES_ASTREINTE" localSheetId="2">'2025'!$B$18</definedName>
    <definedName name="ENTREES_ASTREINTE">#REF!</definedName>
    <definedName name="ENTREES_FACTURE" localSheetId="0">'2023'!$B$17</definedName>
    <definedName name="ENTREES_FACTURE" localSheetId="1">'2024'!$B$17</definedName>
    <definedName name="ENTREES_FACTURE" localSheetId="2">'2025'!$B$17</definedName>
    <definedName name="ENTREES_FACTURE">#REF!</definedName>
    <definedName name="FEVRIER" localSheetId="0">'2023'!$D$3</definedName>
    <definedName name="FEVRIER" localSheetId="1">'2024'!$D$3</definedName>
    <definedName name="FEVRIER" localSheetId="2">'2025'!$D$3</definedName>
    <definedName name="FEVRIER">#REF!</definedName>
    <definedName name="FRAIS_KM" localSheetId="0">'2023'!$B$30</definedName>
    <definedName name="FRAIS_KM" localSheetId="1">'2024'!$B$32</definedName>
    <definedName name="FRAIS_KM" localSheetId="2">'2025'!$B$35</definedName>
    <definedName name="JANVIER" localSheetId="0">'2023'!$C$3</definedName>
    <definedName name="JANVIER" localSheetId="1">'2024'!$C$3</definedName>
    <definedName name="JANVIER" localSheetId="2">'2025'!$C$3</definedName>
    <definedName name="JANVIER">#REF!</definedName>
    <definedName name="JUILLET" localSheetId="0">'2023'!$I$3</definedName>
    <definedName name="JUILLET" localSheetId="1">'2024'!$I$3</definedName>
    <definedName name="JUILLET" localSheetId="2">'2025'!$I$3</definedName>
    <definedName name="JUILLET">#REF!</definedName>
    <definedName name="JUIN" localSheetId="0">'2023'!$H$3</definedName>
    <definedName name="JUIN" localSheetId="1">'2024'!$H$3</definedName>
    <definedName name="JUIN" localSheetId="2">'2025'!$H$3</definedName>
    <definedName name="JUIN">#REF!</definedName>
    <definedName name="MAI" localSheetId="0">'2023'!$G$3</definedName>
    <definedName name="MAI" localSheetId="1">'2024'!$G$3</definedName>
    <definedName name="MAI" localSheetId="2">'2025'!$G$3</definedName>
    <definedName name="MAI">#REF!</definedName>
    <definedName name="MARS" localSheetId="0">'2023'!$E$3</definedName>
    <definedName name="MARS" localSheetId="1">'2024'!$E$3</definedName>
    <definedName name="MARS" localSheetId="2">'2025'!$E$3</definedName>
    <definedName name="MARS">#REF!</definedName>
    <definedName name="MOIS" localSheetId="0">'2023'!$B$3</definedName>
    <definedName name="MOIS" localSheetId="1">'2024'!$B$3</definedName>
    <definedName name="MOIS" localSheetId="2">'2025'!$B$3</definedName>
    <definedName name="MOIS">#REF!</definedName>
    <definedName name="NOMBRE_KM" localSheetId="0">'2023'!$B$29</definedName>
    <definedName name="NOMBRE_KM" localSheetId="1">'2024'!$B$31</definedName>
    <definedName name="NOMBRE_KM" localSheetId="2">'2025'!$B$34</definedName>
    <definedName name="NOVEMBRE" localSheetId="0">'2023'!$M$3</definedName>
    <definedName name="NOVEMBRE" localSheetId="1">'2024'!$M$3</definedName>
    <definedName name="NOVEMBRE" localSheetId="2">'2025'!$M$3</definedName>
    <definedName name="NOVEMBRE">#REF!</definedName>
    <definedName name="OCTOBRE" localSheetId="0">'2023'!$L$3</definedName>
    <definedName name="OCTOBRE" localSheetId="1">'2024'!$L$3</definedName>
    <definedName name="OCTOBRE" localSheetId="2">'2025'!$L$3</definedName>
    <definedName name="OCTOBRE">#REF!</definedName>
    <definedName name="REPAS" localSheetId="0">'2023'!$B$5</definedName>
    <definedName name="REPAS" localSheetId="1">'2024'!$B$5</definedName>
    <definedName name="REPAS" localSheetId="2">'2025'!$B$5</definedName>
    <definedName name="REPAS">#REF!</definedName>
    <definedName name="REPAS_ACQUIS" localSheetId="0">'2023'!$B$7</definedName>
    <definedName name="REPAS_ACQUIS" localSheetId="1">'2024'!$B$7</definedName>
    <definedName name="REPAS_ACQUIS" localSheetId="2">'2025'!$B$7</definedName>
    <definedName name="REPAS_ACQUIS">#REF!</definedName>
    <definedName name="REPAS_PRIS" localSheetId="0">'2023'!$B$6</definedName>
    <definedName name="REPAS_PRIS" localSheetId="1">'2024'!$B$6</definedName>
    <definedName name="REPAS_PRIS" localSheetId="2">'2025'!$B$6</definedName>
    <definedName name="REPAS_PRIS">#REF!</definedName>
    <definedName name="REPAS_SOLDE" localSheetId="0">'2023'!$B$8</definedName>
    <definedName name="REPAS_SOLDE" localSheetId="1">'2024'!$B$8</definedName>
    <definedName name="REPAS_SOLDE" localSheetId="2">'2025'!$B$8</definedName>
    <definedName name="REPAS_SOLDE">#REF!</definedName>
    <definedName name="SEPTEMBRE" localSheetId="0">'2023'!$K$3</definedName>
    <definedName name="SEPTEMBRE" localSheetId="1">'2024'!$K$3</definedName>
    <definedName name="SEPTEMBRE" localSheetId="2">'2025'!$K$3</definedName>
    <definedName name="SEPTEMBRE">#REF!</definedName>
    <definedName name="SOLDE" localSheetId="0">'2023'!$B$27</definedName>
    <definedName name="SOLDE" localSheetId="1">'2024'!$B$29</definedName>
    <definedName name="SOLDE" localSheetId="2">'2025'!$B$32</definedName>
    <definedName name="SORTIES" localSheetId="0">'2023'!$B$21</definedName>
    <definedName name="SORTIES" localSheetId="1">'2024'!$B$22</definedName>
    <definedName name="SORTIES" localSheetId="2">'2025'!$B$22</definedName>
    <definedName name="SORTIES">#REF!</definedName>
    <definedName name="SORTIES_ABONDEMENT" localSheetId="0">'2023'!#REF!</definedName>
    <definedName name="SORTIES_ABONDEMENT" localSheetId="1">'2024'!#REF!</definedName>
    <definedName name="SORTIES_ABONDEMENT" localSheetId="2">'2025'!#REF!</definedName>
    <definedName name="SORTIES_ABONDEMENT">#REF!</definedName>
    <definedName name="SORTIES_CHARGES_SOCIALES_PATRONALES" localSheetId="0">'2023'!$B$23</definedName>
    <definedName name="SORTIES_CHARGES_SOCIALES_PATRONALES" localSheetId="1">'2024'!$B$24</definedName>
    <definedName name="SORTIES_CHARGES_SOCIALES_PATRONALES" localSheetId="2">'2025'!$B$24</definedName>
    <definedName name="SORTIES_CHARGES_SOCIALES_PATRONALES">#REF!</definedName>
    <definedName name="SORTIES_FRAIS_KM" localSheetId="0">'2023'!$B$24</definedName>
    <definedName name="SORTIES_FRAIS_KM" localSheetId="1">'2024'!$B$25</definedName>
    <definedName name="SORTIES_FRAIS_KM" localSheetId="2">'2025'!$B$25</definedName>
    <definedName name="SORTIES_FRAIS_PEE_AMUNDI" localSheetId="0">'2023'!#REF!</definedName>
    <definedName name="SORTIES_FRAIS_PEE_AMUNDI" localSheetId="1">'2024'!#REF!</definedName>
    <definedName name="SORTIES_FRAIS_PEE_AMUNDI" localSheetId="2">'2025'!#REF!</definedName>
    <definedName name="SORTIES_FRAIS_PEE_AMUNDI">#REF!</definedName>
    <definedName name="SORTIES_INTERESSEMENT" localSheetId="0">'2023'!#REF!</definedName>
    <definedName name="SORTIES_INTERESSEMENT" localSheetId="1">'2024'!#REF!</definedName>
    <definedName name="SORTIES_INTERESSEMENT" localSheetId="2">'2025'!#REF!</definedName>
    <definedName name="SORTIES_INTERESSEMENT">#REF!</definedName>
    <definedName name="SORTIES_SALAIRE_NET" localSheetId="0">'2023'!$B$22</definedName>
    <definedName name="SORTIES_SALAIRE_NET" localSheetId="1">'2024'!$B$23</definedName>
    <definedName name="SORTIES_SALAIRE_NET" localSheetId="2">'2025'!$B$23</definedName>
    <definedName name="SORTIES_SALAIRE_NET">#REF!</definedName>
    <definedName name="TOTAL" localSheetId="0">'2023'!$P$3</definedName>
    <definedName name="TOTAL" localSheetId="1">'2024'!$P$3</definedName>
    <definedName name="TOTAL" localSheetId="2">'2025'!$P$3</definedName>
    <definedName name="TOTAL">#REF!</definedName>
    <definedName name="TOTAL_ENTREES" localSheetId="0">'2023'!$B$19</definedName>
    <definedName name="TOTAL_ENTREES" localSheetId="1">'2024'!$B$20</definedName>
    <definedName name="TOTAL_ENTREES" localSheetId="2">'2025'!$B$20</definedName>
    <definedName name="TOTAL_ENTREES">#REF!</definedName>
    <definedName name="TOTAL_SORTIES" localSheetId="0">'2023'!$B$25</definedName>
    <definedName name="TOTAL_SORTIES" localSheetId="1">'2024'!$B$27</definedName>
    <definedName name="TOTAL_SORTIES" localSheetId="2">'2025'!$B$28</definedName>
    <definedName name="TOTAL_SORTI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P30" i="16" l="1" a="1"/>
  <c r="P30" i="16" s="1"/>
  <c r="P27" i="16"/>
  <c r="P35" i="16"/>
  <c r="P34" i="16"/>
  <c r="P26" i="16"/>
  <c r="P25" i="16"/>
  <c r="N28" i="16"/>
  <c r="M28" i="16"/>
  <c r="L28" i="16"/>
  <c r="K28" i="16"/>
  <c r="J28" i="16"/>
  <c r="I28" i="16"/>
  <c r="H28" i="16"/>
  <c r="G28" i="16"/>
  <c r="F28" i="16"/>
  <c r="E28" i="16"/>
  <c r="D28" i="16"/>
  <c r="P23" i="16"/>
  <c r="P18" i="16"/>
  <c r="N20" i="16"/>
  <c r="M20" i="16"/>
  <c r="L20" i="16"/>
  <c r="K20" i="16"/>
  <c r="J20" i="16"/>
  <c r="J32" i="16" s="1"/>
  <c r="I20" i="16"/>
  <c r="H20" i="16"/>
  <c r="G20" i="16"/>
  <c r="F20" i="16"/>
  <c r="E20" i="16"/>
  <c r="D20" i="16"/>
  <c r="P14" i="16"/>
  <c r="P13" i="16"/>
  <c r="P12" i="16"/>
  <c r="C4" i="13" s="1"/>
  <c r="P11" i="16"/>
  <c r="N8" i="16"/>
  <c r="M8" i="16"/>
  <c r="L8" i="16"/>
  <c r="K8" i="16"/>
  <c r="J8" i="16"/>
  <c r="I8" i="16"/>
  <c r="H8" i="16"/>
  <c r="G8" i="16"/>
  <c r="F8" i="16"/>
  <c r="E8" i="16"/>
  <c r="D8" i="16"/>
  <c r="C8" i="16"/>
  <c r="P7" i="16"/>
  <c r="P6" i="16"/>
  <c r="P32" i="15"/>
  <c r="P31" i="15"/>
  <c r="P34" i="15" s="1"/>
  <c r="P35" i="15" s="1"/>
  <c r="P26" i="15"/>
  <c r="D26" i="15"/>
  <c r="P25" i="15"/>
  <c r="N24" i="15"/>
  <c r="N27" i="15" s="1"/>
  <c r="M24" i="15"/>
  <c r="M27" i="15" s="1"/>
  <c r="L24" i="15"/>
  <c r="L27" i="15" s="1"/>
  <c r="K24" i="15"/>
  <c r="K27" i="15" s="1"/>
  <c r="J24" i="15"/>
  <c r="J27" i="15" s="1"/>
  <c r="I24" i="15"/>
  <c r="I27" i="15" s="1"/>
  <c r="H24" i="15"/>
  <c r="H27" i="15" s="1"/>
  <c r="G24" i="15"/>
  <c r="G27" i="15" s="1"/>
  <c r="F24" i="15"/>
  <c r="F27" i="15" s="1"/>
  <c r="E24" i="15"/>
  <c r="E27" i="15" s="1"/>
  <c r="D24" i="15"/>
  <c r="D27" i="15" s="1"/>
  <c r="C24" i="15"/>
  <c r="C27" i="15" s="1"/>
  <c r="P23" i="15"/>
  <c r="L20" i="15"/>
  <c r="P18" i="15"/>
  <c r="N17" i="15"/>
  <c r="N20" i="15" s="1"/>
  <c r="N29" i="15" s="1"/>
  <c r="M17" i="15"/>
  <c r="M20" i="15" s="1"/>
  <c r="L17" i="15"/>
  <c r="K17" i="15"/>
  <c r="K20" i="15" s="1"/>
  <c r="J17" i="15"/>
  <c r="J20" i="15" s="1"/>
  <c r="J29" i="15" s="1"/>
  <c r="I17" i="15"/>
  <c r="I20" i="15" s="1"/>
  <c r="I29" i="15" s="1"/>
  <c r="H17" i="15"/>
  <c r="H20" i="15" s="1"/>
  <c r="H29" i="15" s="1"/>
  <c r="G17" i="15"/>
  <c r="G20" i="15" s="1"/>
  <c r="G29" i="15" s="1"/>
  <c r="F17" i="15"/>
  <c r="F20" i="15" s="1"/>
  <c r="E17" i="15"/>
  <c r="E20" i="15" s="1"/>
  <c r="D17" i="15"/>
  <c r="D20" i="15" s="1"/>
  <c r="C17" i="15"/>
  <c r="C20" i="15" s="1"/>
  <c r="P14" i="15"/>
  <c r="P13" i="15"/>
  <c r="P12" i="15"/>
  <c r="P11" i="15"/>
  <c r="N8" i="15"/>
  <c r="M8" i="15"/>
  <c r="L8" i="15"/>
  <c r="K8" i="15"/>
  <c r="J8" i="15"/>
  <c r="I8" i="15"/>
  <c r="H8" i="15"/>
  <c r="G8" i="15"/>
  <c r="F8" i="15"/>
  <c r="E8" i="15"/>
  <c r="D8" i="15"/>
  <c r="C8" i="15"/>
  <c r="P7" i="15"/>
  <c r="P6" i="15"/>
  <c r="P30" i="14"/>
  <c r="P29" i="14"/>
  <c r="P32" i="14" s="1"/>
  <c r="P33" i="14" s="1"/>
  <c r="D27" i="14"/>
  <c r="K25" i="14"/>
  <c r="F25" i="14"/>
  <c r="E25" i="14"/>
  <c r="D25" i="14"/>
  <c r="C25" i="14"/>
  <c r="P24" i="14"/>
  <c r="N23" i="14"/>
  <c r="N25" i="14" s="1"/>
  <c r="M23" i="14"/>
  <c r="M25" i="14" s="1"/>
  <c r="L23" i="14"/>
  <c r="L25" i="14" s="1"/>
  <c r="K23" i="14"/>
  <c r="J23" i="14"/>
  <c r="J25" i="14" s="1"/>
  <c r="I23" i="14"/>
  <c r="I25" i="14" s="1"/>
  <c r="H23" i="14"/>
  <c r="H25" i="14" s="1"/>
  <c r="G23" i="14"/>
  <c r="G25" i="14" s="1"/>
  <c r="P22" i="14"/>
  <c r="F19" i="14"/>
  <c r="F27" i="14" s="1"/>
  <c r="E19" i="14"/>
  <c r="E27" i="14" s="1"/>
  <c r="D19" i="14"/>
  <c r="C19" i="14"/>
  <c r="C27" i="14" s="1"/>
  <c r="P18" i="14"/>
  <c r="N17" i="14"/>
  <c r="N19" i="14" s="1"/>
  <c r="N27" i="14" s="1"/>
  <c r="M17" i="14"/>
  <c r="M19" i="14" s="1"/>
  <c r="L17" i="14"/>
  <c r="L19" i="14" s="1"/>
  <c r="K17" i="14"/>
  <c r="K19" i="14" s="1"/>
  <c r="K27" i="14" s="1"/>
  <c r="J17" i="14"/>
  <c r="J19" i="14" s="1"/>
  <c r="J27" i="14" s="1"/>
  <c r="I17" i="14"/>
  <c r="I19" i="14" s="1"/>
  <c r="H17" i="14"/>
  <c r="H19" i="14" s="1"/>
  <c r="G17" i="14"/>
  <c r="G19" i="14" s="1"/>
  <c r="G27" i="14" s="1"/>
  <c r="P14" i="14"/>
  <c r="P13" i="14"/>
  <c r="P12" i="14"/>
  <c r="P11" i="14"/>
  <c r="N8" i="14"/>
  <c r="M8" i="14"/>
  <c r="L8" i="14"/>
  <c r="K8" i="14"/>
  <c r="J8" i="14"/>
  <c r="I8" i="14"/>
  <c r="H8" i="14"/>
  <c r="G8" i="14"/>
  <c r="F8" i="14"/>
  <c r="E8" i="14"/>
  <c r="D8" i="14"/>
  <c r="C8" i="14"/>
  <c r="P7" i="14"/>
  <c r="P6" i="14"/>
  <c r="I32" i="16" l="1"/>
  <c r="I27" i="14"/>
  <c r="H27" i="14"/>
  <c r="K29" i="15"/>
  <c r="P24" i="15"/>
  <c r="P8" i="15"/>
  <c r="D29" i="15"/>
  <c r="L29" i="15"/>
  <c r="P8" i="14"/>
  <c r="P17" i="14"/>
  <c r="K32" i="16"/>
  <c r="E32" i="16"/>
  <c r="M32" i="16"/>
  <c r="L32" i="16"/>
  <c r="F32" i="16"/>
  <c r="N32" i="16"/>
  <c r="D32" i="16"/>
  <c r="H32" i="16"/>
  <c r="P8" i="16"/>
  <c r="G32" i="16"/>
  <c r="P20" i="15"/>
  <c r="C29" i="15"/>
  <c r="P25" i="14"/>
  <c r="E29" i="15"/>
  <c r="M29" i="15"/>
  <c r="P27" i="15"/>
  <c r="L27" i="14"/>
  <c r="M27" i="14"/>
  <c r="F29" i="15"/>
  <c r="P19" i="14"/>
  <c r="P23" i="14"/>
  <c r="P17" i="15"/>
  <c r="P27" i="14" l="1"/>
  <c r="P29" i="15"/>
  <c r="C24" i="16"/>
  <c r="C28" i="16" s="1"/>
  <c r="P28" i="16" s="1"/>
  <c r="C17" i="16"/>
  <c r="C20" i="16" l="1"/>
  <c r="P17" i="16"/>
  <c r="P24" i="16"/>
  <c r="P20" i="16" l="1"/>
  <c r="C32" i="16"/>
  <c r="P32" i="16" s="1"/>
  <c r="C3" i="1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PC-HOUDA</author>
  </authors>
  <commentList>
    <comment ref="C27" authorId="0" shapeId="0" xr:uid="{EA776567-01CC-4F8E-864B-5B6A199A881B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Acompte a remboursé 1500 par mois a partir de janvier
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<sst xmlns="http://schemas.openxmlformats.org/spreadsheetml/2006/main" count="125" uniqueCount="47">
  <si>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</si>
  <si>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</si>
  <si>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</si>
  <si>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</si>
  <si>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</si>
  <si>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</si>
  <si>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</si>
  <si>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</si>
  <si>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</si>
  <si>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</si>
  <si>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</si>
  <si>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</si>
  <si>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</si>
  <si>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</si>
  <si>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</si>
  <si>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</si>
  <si>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</si>
  <si>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</si>
  <si>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</si>
  <si>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</si>
  <si>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</si>
  <si>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</si>
  <si>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</si>
  <si>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</si>
  <si>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</si>
  <si>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</si>
  <si>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</si>
  <si>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</si>
  <si>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</si>
  <si>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</si>
  <si>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</si>
  <si>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</si>
  <si>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</si>
  <si>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</si>
  <si>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</si>
  <si>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</si>
  <si>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</si>
  <si>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</si>
  <si>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</si>
  <si>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</si>
  <si>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</si>
  <si>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(Mai 2023)</t>
  </si>
  <si>
    <t>Frais KM annuel à payer</t>
  </si>
  <si>
    <t>Régularisation Frais KM</t>
  </si>
  <si>
    <t>Frais Refacturés</t>
  </si>
  <si>
    <t>Acompte versé</t>
  </si>
  <si>
    <t>Acompte Remboursé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</si>
</sst>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4" xfId="0" applyFont="1" applyFill="1" applyBorder="1"/>
    <xf numFmtId="0" fontId="0" fillId="2" borderId="3" xfId="0" applyFill="1" applyBorder="1"/>
    <xf numFmtId="0" fontId="1" fillId="3" borderId="6" xfId="0" applyFont="1" applyFill="1" applyBorder="1"/>
    <xf numFmtId="0" fontId="0" fillId="0" borderId="5" xfId="0" applyBorder="1" applyProtection="1">
      <protection locked="0"/>
    </xf>
    <xf numFmtId="4" fontId="4" fillId="4" borderId="5" xfId="0" applyNumberFormat="1" applyFont="1" applyFill="1" applyBorder="1"/>
    <xf numFmtId="0" fontId="0" fillId="0" borderId="9" xfId="0" applyBorder="1"/>
    <xf numFmtId="0" fontId="0" fillId="0" borderId="5" xfId="0" applyBorder="1"/>
    <xf numFmtId="0" fontId="1" fillId="6" borderId="1" xfId="0" applyFont="1" applyFill="1" applyBorder="1" applyAlignment="1">
      <alignment horizontal="center" vertical="center"/>
    </xf>
    <xf numFmtId="0" fontId="1" fillId="7" borderId="4" xfId="0" applyFont="1" applyFill="1" applyBorder="1"/>
    <xf numFmtId="0" fontId="0" fillId="7" borderId="3" xfId="0" applyFill="1" applyBorder="1"/>
    <xf numFmtId="0" fontId="1" fillId="0" borderId="3" xfId="0" applyFont="1" applyBorder="1" applyAlignment="1">
      <alignment horizontal="center" vertical="center"/>
    </xf>
    <xf numFmtId="0" fontId="1" fillId="8" borderId="4" xfId="0" applyFont="1" applyFill="1" applyBorder="1"/>
    <xf numFmtId="0" fontId="0" fillId="0" borderId="10" xfId="0" applyBorder="1" applyProtection="1">
      <protection locked="0"/>
    </xf>
    <xf numFmtId="0" fontId="0" fillId="8" borderId="3" xfId="0" applyFill="1" applyBorder="1"/>
    <xf numFmtId="0" fontId="0" fillId="8" borderId="8" xfId="0" applyFill="1" applyBorder="1"/>
    <xf numFmtId="4" fontId="4" fillId="4" borderId="7" xfId="0" applyNumberFormat="1" applyFont="1" applyFill="1" applyBorder="1"/>
    <xf numFmtId="0" fontId="0" fillId="7" borderId="8" xfId="0" applyFill="1" applyBorder="1"/>
    <xf numFmtId="0" fontId="0" fillId="0" borderId="10" xfId="0" applyBorder="1"/>
    <xf numFmtId="0" fontId="0" fillId="0" borderId="3" xfId="0" applyBorder="1"/>
    <xf numFmtId="0" fontId="0" fillId="2" borderId="8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4" xfId="0" applyFont="1" applyFill="1" applyBorder="1"/>
    <xf numFmtId="4" fontId="0" fillId="3" borderId="3" xfId="0" applyNumberFormat="1" applyFill="1" applyBorder="1"/>
    <xf numFmtId="0" fontId="0" fillId="0" borderId="3" xfId="0" applyBorder="1" applyProtection="1">
      <protection locked="0"/>
    </xf>
    <xf numFmtId="4" fontId="0" fillId="3" borderId="8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5" xfId="0" applyNumberFormat="1" applyFont="1" applyFill="1" applyBorder="1"/>
    <xf numFmtId="1" fontId="1" fillId="0" borderId="0" xfId="0" applyNumberFormat="1" applyFont="1"/>
    <xf numFmtId="1" fontId="4" fillId="0" borderId="5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5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1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4" fillId="11" borderId="1" xfId="0" applyNumberFormat="1" applyFont="1" applyFill="1" applyBorder="1"/>
    <xf numFmtId="0" fontId="0" fillId="0" borderId="2" xfId="0" applyBorder="1" applyProtection="1">
      <protection locked="0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6" xfId="0" applyNumberFormat="1" applyFont="1" applyFill="1" applyBorder="1" applyAlignment="1">
      <alignment horizontal="center" vertical="center"/>
    </xf>
    <xf numFmtId="4" fontId="1" fillId="11" borderId="1" xfId="0" applyNumberFormat="1" applyFont="1" applyFill="1" applyBorder="1" applyAlignment="1">
      <alignment horizontal="center"/>
    </xf>
    <xf numFmtId="0" fontId="0" fillId="11" borderId="1" xfId="0" applyFill="1" applyBorder="1" applyProtection="1">
      <protection locked="0"/>
    </xf>
    <xf numFmtId="1" fontId="9" fillId="0" borderId="10" xfId="0" applyNumberFormat="1" applyFont="1" applyBorder="1"/>
    <xf numFmtId="4" fontId="4" fillId="4" borderId="2" xfId="0" applyNumberFormat="1" applyFont="1" applyFill="1" applyBorder="1"/>
    <xf numFmtId="4" fontId="1" fillId="0" borderId="2" xfId="0" applyNumberFormat="1" applyFont="1" applyBorder="1" applyAlignment="1">
      <alignment horizontal="center" vertical="center"/>
    </xf>
    <xf numFmtId="0" fontId="0" fillId="12" borderId="5" xfId="0" applyFill="1" applyBorder="1" applyProtection="1">
      <protection locked="0"/>
    </xf>
    <xf numFmtId="4" fontId="4" fillId="12" borderId="5" xfId="0" applyNumberFormat="1" applyFont="1" applyFill="1" applyBorder="1"/>
    <xf numFmtId="4" fontId="1" fillId="12" borderId="6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33"/>
  <sheetViews>
    <sheetView topLeftCell="B2" workbookViewId="0">
      <selection activeCell="N32" sqref="N32:P34"/>
    </sheetView>
  </sheetViews>
  <sheetFormatPr baseColWidth="10" defaultRowHeight="14.4" x14ac:dyDescent="0.3"/>
  <cols>
    <col min="1" max="1" width="3" customWidth="1"/>
    <col min="2" max="2" width="28" customWidth="1"/>
    <col min="14" max="14" width="18.88671875" bestFit="1" customWidth="1"/>
    <col min="15" max="15" width="4" customWidth="1"/>
    <col min="16" max="16" width="11" style="48" customWidth="1"/>
  </cols>
  <sheetData>
    <row r="1" spans="2:16" x14ac:dyDescent="0.3">
      <c r="B1" s="69" t="s">
        <v>9</v>
      </c>
    </row>
    <row r="2" spans="2:16" x14ac:dyDescent="0.3">
      <c r="B2" s="70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/>
      <c r="D6" s="35"/>
      <c r="E6" s="35"/>
      <c r="F6" s="37"/>
      <c r="G6" s="37">
        <v>19</v>
      </c>
      <c r="H6" s="37">
        <v>19</v>
      </c>
      <c r="I6" s="37">
        <v>19</v>
      </c>
      <c r="J6" s="37">
        <v>19</v>
      </c>
      <c r="K6" s="37">
        <v>19</v>
      </c>
      <c r="L6" s="37">
        <v>19</v>
      </c>
      <c r="M6" s="37">
        <v>19</v>
      </c>
      <c r="N6" s="37">
        <v>15</v>
      </c>
      <c r="O6" s="36"/>
      <c r="P6" s="57">
        <f>SUM(C6:N6)</f>
        <v>148</v>
      </c>
    </row>
    <row r="7" spans="2:16" x14ac:dyDescent="0.3">
      <c r="B7" s="9" t="s">
        <v>21</v>
      </c>
      <c r="C7" s="37"/>
      <c r="D7" s="37"/>
      <c r="E7" s="37"/>
      <c r="F7" s="37"/>
      <c r="G7" s="37">
        <v>19</v>
      </c>
      <c r="H7" s="37">
        <v>16</v>
      </c>
      <c r="I7" s="37">
        <v>17</v>
      </c>
      <c r="J7" s="37">
        <v>15</v>
      </c>
      <c r="K7" s="37">
        <v>20</v>
      </c>
      <c r="L7" s="37">
        <v>22</v>
      </c>
      <c r="M7" s="37">
        <v>20</v>
      </c>
      <c r="N7" s="37">
        <v>19</v>
      </c>
      <c r="O7" s="36"/>
      <c r="P7" s="57">
        <f>SUM(C7:N7)</f>
        <v>148</v>
      </c>
    </row>
    <row r="8" spans="2:16" x14ac:dyDescent="0.3">
      <c r="B8" s="18" t="s">
        <v>22</v>
      </c>
      <c r="C8" s="63">
        <f t="shared" ref="C8:N8" si="0">C7-C6</f>
        <v>0</v>
      </c>
      <c r="D8" s="63">
        <f t="shared" si="0"/>
        <v>0</v>
      </c>
      <c r="E8" s="63">
        <f t="shared" si="0"/>
        <v>0</v>
      </c>
      <c r="F8" s="63">
        <f t="shared" si="0"/>
        <v>0</v>
      </c>
      <c r="G8" s="63">
        <f t="shared" si="0"/>
        <v>0</v>
      </c>
      <c r="H8" s="63">
        <f t="shared" si="0"/>
        <v>-3</v>
      </c>
      <c r="I8" s="63">
        <f t="shared" si="0"/>
        <v>-2</v>
      </c>
      <c r="J8" s="63">
        <f t="shared" si="0"/>
        <v>-4</v>
      </c>
      <c r="K8" s="63">
        <f t="shared" si="0"/>
        <v>1</v>
      </c>
      <c r="L8" s="63">
        <f t="shared" si="0"/>
        <v>3</v>
      </c>
      <c r="M8" s="63">
        <f t="shared" si="0"/>
        <v>1</v>
      </c>
      <c r="N8" s="63">
        <f t="shared" si="0"/>
        <v>4</v>
      </c>
      <c r="O8" s="36"/>
      <c r="P8" s="57">
        <f>SUM(C8:N8)</f>
        <v>0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/>
      <c r="D11" s="11"/>
      <c r="E11" s="11"/>
      <c r="F11" s="11"/>
      <c r="G11" s="11">
        <v>19</v>
      </c>
      <c r="H11" s="11">
        <v>16</v>
      </c>
      <c r="I11" s="11">
        <v>17</v>
      </c>
      <c r="J11" s="11">
        <v>15</v>
      </c>
      <c r="K11" s="11">
        <v>20</v>
      </c>
      <c r="L11" s="11">
        <v>22</v>
      </c>
      <c r="M11" s="11">
        <v>20</v>
      </c>
      <c r="N11" s="11">
        <v>19</v>
      </c>
      <c r="P11" s="58">
        <f>SUM(C11:N11)</f>
        <v>148</v>
      </c>
    </row>
    <row r="12" spans="2:16" x14ac:dyDescent="0.3">
      <c r="B12" s="9" t="s">
        <v>16</v>
      </c>
      <c r="C12" s="12"/>
      <c r="D12" s="12"/>
      <c r="E12" s="12"/>
      <c r="F12" s="12"/>
      <c r="G12" s="12">
        <v>1</v>
      </c>
      <c r="H12" s="12">
        <v>6</v>
      </c>
      <c r="I12" s="12">
        <v>3</v>
      </c>
      <c r="J12" s="12">
        <v>0</v>
      </c>
      <c r="K12" s="12">
        <v>1</v>
      </c>
      <c r="L12" s="12"/>
      <c r="M12" s="12">
        <v>1</v>
      </c>
      <c r="N12" s="12">
        <v>1</v>
      </c>
      <c r="P12" s="58">
        <f>SUM(C12:N12)</f>
        <v>13</v>
      </c>
    </row>
    <row r="13" spans="2:16" x14ac:dyDescent="0.3">
      <c r="B13" s="9" t="s">
        <v>17</v>
      </c>
      <c r="C13" s="12"/>
      <c r="D13" s="12"/>
      <c r="E13" s="12"/>
      <c r="F13" s="12"/>
      <c r="G13" s="12"/>
      <c r="H13" s="12"/>
      <c r="I13" s="12"/>
      <c r="J13" s="12">
        <v>7</v>
      </c>
      <c r="K13" s="12"/>
      <c r="L13" s="12"/>
      <c r="M13" s="12"/>
      <c r="N13" s="12"/>
      <c r="P13" s="58">
        <f>SUM(C13:N13)</f>
        <v>7</v>
      </c>
    </row>
    <row r="14" spans="2:16" x14ac:dyDescent="0.3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8">
        <f>SUM(C14:N14)</f>
        <v>0</v>
      </c>
    </row>
    <row r="15" spans="2:16" x14ac:dyDescent="0.3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">
      <c r="B17" s="9" t="s">
        <v>6</v>
      </c>
      <c r="C17" s="10"/>
      <c r="D17" s="10"/>
      <c r="E17" s="10"/>
      <c r="F17" s="10"/>
      <c r="G17" s="10">
        <f>G11*Params!$C$5*(1-Params!$C$3)-Params!$C$4</f>
        <v>8665</v>
      </c>
      <c r="H17" s="10">
        <f>H11*Params!$C$5*(1-Params!$C$3)-Params!$C$4</f>
        <v>7285</v>
      </c>
      <c r="I17" s="10">
        <f>I11*Params!$C$5*(1-Params!$C$3)-Params!$C$4</f>
        <v>7745</v>
      </c>
      <c r="J17" s="10">
        <f>J11*Params!$C$5*(1-Params!$C$3)-Params!$C$4</f>
        <v>6825</v>
      </c>
      <c r="K17" s="10">
        <f>K11*Params!$C$5*(1-Params!$C$3)-Params!$C$4</f>
        <v>9125</v>
      </c>
      <c r="L17" s="10">
        <f>L11*Params!$C$5*(1-Params!$C$3)-Params!$C$4</f>
        <v>10045</v>
      </c>
      <c r="M17" s="10">
        <f>M11*Params!$C$5*(1-Params!$C$3)-Params!$C$4</f>
        <v>9125</v>
      </c>
      <c r="N17" s="10">
        <f>N11*Params!$C$5*(1-Params!$C$3)-Params!$C$4</f>
        <v>8665</v>
      </c>
      <c r="O17" s="4"/>
      <c r="P17" s="41">
        <f>SUM(C17:N17)</f>
        <v>67480</v>
      </c>
    </row>
    <row r="18" spans="2:16" x14ac:dyDescent="0.3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3">
      <c r="B19" s="27" t="s">
        <v>2</v>
      </c>
      <c r="C19" s="28">
        <f t="shared" ref="C19:N19" si="1">SUM(C17:C18)</f>
        <v>0</v>
      </c>
      <c r="D19" s="28">
        <f t="shared" si="1"/>
        <v>0</v>
      </c>
      <c r="E19" s="28">
        <f t="shared" si="1"/>
        <v>0</v>
      </c>
      <c r="F19" s="28">
        <f t="shared" si="1"/>
        <v>0</v>
      </c>
      <c r="G19" s="28">
        <f t="shared" si="1"/>
        <v>8665</v>
      </c>
      <c r="H19" s="28">
        <f t="shared" si="1"/>
        <v>7285</v>
      </c>
      <c r="I19" s="28">
        <f t="shared" si="1"/>
        <v>7745</v>
      </c>
      <c r="J19" s="28">
        <f t="shared" si="1"/>
        <v>6825</v>
      </c>
      <c r="K19" s="28">
        <f t="shared" si="1"/>
        <v>9125</v>
      </c>
      <c r="L19" s="28">
        <f t="shared" si="1"/>
        <v>10045</v>
      </c>
      <c r="M19" s="28">
        <f t="shared" si="1"/>
        <v>9125</v>
      </c>
      <c r="N19" s="28">
        <f t="shared" si="1"/>
        <v>8665</v>
      </c>
      <c r="O19" s="5"/>
      <c r="P19" s="42">
        <f>SUM(C19:O19)</f>
        <v>67480</v>
      </c>
    </row>
    <row r="20" spans="2:16" x14ac:dyDescent="0.3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3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3">
      <c r="B22" s="9" t="s">
        <v>7</v>
      </c>
      <c r="C22" s="10"/>
      <c r="D22" s="10"/>
      <c r="E22" s="10"/>
      <c r="F22" s="10"/>
      <c r="G22" s="10">
        <v>5572.15</v>
      </c>
      <c r="H22" s="10">
        <v>5053.8999999999996</v>
      </c>
      <c r="I22" s="10">
        <v>5312.49</v>
      </c>
      <c r="J22" s="10">
        <v>3971.17</v>
      </c>
      <c r="K22" s="10">
        <v>5123.74</v>
      </c>
      <c r="L22" s="10">
        <v>5123.74</v>
      </c>
      <c r="M22" s="10">
        <v>5123.74</v>
      </c>
      <c r="N22" s="10">
        <v>5081.1899999999996</v>
      </c>
      <c r="O22" s="4"/>
      <c r="P22" s="43">
        <f>SUM(C22:N22)</f>
        <v>40362.119999999995</v>
      </c>
    </row>
    <row r="23" spans="2:16" x14ac:dyDescent="0.3">
      <c r="B23" s="9" t="s">
        <v>8</v>
      </c>
      <c r="C23" s="10"/>
      <c r="D23" s="10"/>
      <c r="E23" s="10"/>
      <c r="F23" s="10"/>
      <c r="G23" s="10">
        <f>1096.19+1859.59</f>
        <v>2955.7799999999997</v>
      </c>
      <c r="H23" s="10">
        <f>1097.26+1862.76</f>
        <v>2960.02</v>
      </c>
      <c r="I23" s="10">
        <f>1097.26+1875.9</f>
        <v>2973.16</v>
      </c>
      <c r="J23" s="10">
        <f>827.47+1409.9</f>
        <v>2237.37</v>
      </c>
      <c r="K23" s="10">
        <f>1084.48+1810.59</f>
        <v>2895.0699999999997</v>
      </c>
      <c r="L23" s="10">
        <f>1084.48+1812.81</f>
        <v>2897.29</v>
      </c>
      <c r="M23" s="10">
        <f>1084.48+1810.59</f>
        <v>2895.0699999999997</v>
      </c>
      <c r="N23" s="10">
        <f>1079.51+1799</f>
        <v>2878.51</v>
      </c>
      <c r="O23" s="4"/>
      <c r="P23" s="43">
        <f>SUM(C23:N23)</f>
        <v>22692.269999999997</v>
      </c>
    </row>
    <row r="24" spans="2:16" x14ac:dyDescent="0.3">
      <c r="B24" s="55" t="s">
        <v>40</v>
      </c>
      <c r="C24" s="10"/>
      <c r="D24" s="10"/>
      <c r="E24" s="10"/>
      <c r="F24" s="10"/>
      <c r="G24" s="10">
        <v>261.5</v>
      </c>
      <c r="H24" s="10">
        <v>236</v>
      </c>
      <c r="I24" s="10">
        <v>244.5</v>
      </c>
      <c r="J24" s="10">
        <v>227.5</v>
      </c>
      <c r="K24" s="10">
        <v>644</v>
      </c>
      <c r="L24" s="10">
        <v>698.4</v>
      </c>
      <c r="M24" s="10">
        <v>698.88</v>
      </c>
      <c r="N24" s="10">
        <v>1685.77</v>
      </c>
      <c r="O24" s="4"/>
      <c r="P24" s="43">
        <f>SUM(C24:N24)</f>
        <v>4696.55</v>
      </c>
    </row>
    <row r="25" spans="2:16" x14ac:dyDescent="0.3">
      <c r="B25" s="8" t="s">
        <v>3</v>
      </c>
      <c r="C25" s="44">
        <f t="shared" ref="C25:N25" si="2">SUM(C22:C24)</f>
        <v>0</v>
      </c>
      <c r="D25" s="44">
        <f t="shared" si="2"/>
        <v>0</v>
      </c>
      <c r="E25" s="44">
        <f t="shared" si="2"/>
        <v>0</v>
      </c>
      <c r="F25" s="44">
        <f t="shared" si="2"/>
        <v>0</v>
      </c>
      <c r="G25" s="44">
        <f t="shared" si="2"/>
        <v>8789.43</v>
      </c>
      <c r="H25" s="44">
        <f t="shared" si="2"/>
        <v>8249.92</v>
      </c>
      <c r="I25" s="44">
        <f t="shared" si="2"/>
        <v>8530.15</v>
      </c>
      <c r="J25" s="44">
        <f t="shared" si="2"/>
        <v>6436.04</v>
      </c>
      <c r="K25" s="44">
        <f t="shared" si="2"/>
        <v>8662.81</v>
      </c>
      <c r="L25" s="44">
        <f t="shared" si="2"/>
        <v>8719.43</v>
      </c>
      <c r="M25" s="44">
        <f t="shared" si="2"/>
        <v>8717.6899999999987</v>
      </c>
      <c r="N25" s="44">
        <f t="shared" si="2"/>
        <v>9645.4699999999993</v>
      </c>
      <c r="O25" s="4"/>
      <c r="P25" s="60">
        <f>SUM(C25:N25)</f>
        <v>67750.94</v>
      </c>
    </row>
    <row r="26" spans="2:16" x14ac:dyDescent="0.3">
      <c r="B26" s="45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5"/>
    </row>
    <row r="27" spans="2:16" x14ac:dyDescent="0.3">
      <c r="B27" s="46" t="s">
        <v>36</v>
      </c>
      <c r="C27" s="47">
        <f t="shared" ref="C27:N27" si="3">C19-C25</f>
        <v>0</v>
      </c>
      <c r="D27" s="47">
        <f t="shared" si="3"/>
        <v>0</v>
      </c>
      <c r="E27" s="47">
        <f t="shared" si="3"/>
        <v>0</v>
      </c>
      <c r="F27" s="47">
        <f t="shared" si="3"/>
        <v>0</v>
      </c>
      <c r="G27" s="47">
        <f t="shared" si="3"/>
        <v>-124.43000000000029</v>
      </c>
      <c r="H27" s="47">
        <f t="shared" si="3"/>
        <v>-964.92000000000007</v>
      </c>
      <c r="I27" s="47">
        <f t="shared" si="3"/>
        <v>-785.14999999999964</v>
      </c>
      <c r="J27" s="47">
        <f t="shared" si="3"/>
        <v>388.96000000000004</v>
      </c>
      <c r="K27" s="47">
        <f t="shared" si="3"/>
        <v>462.19000000000051</v>
      </c>
      <c r="L27" s="47">
        <f t="shared" si="3"/>
        <v>1325.5699999999997</v>
      </c>
      <c r="M27" s="47">
        <f t="shared" si="3"/>
        <v>407.31000000000131</v>
      </c>
      <c r="N27" s="47">
        <f t="shared" si="3"/>
        <v>-980.46999999999935</v>
      </c>
      <c r="P27" s="59">
        <f>SUM(C27:O27)</f>
        <v>-270.93999999999778</v>
      </c>
    </row>
    <row r="29" spans="2:16" x14ac:dyDescent="0.3">
      <c r="B29" s="62" t="s">
        <v>37</v>
      </c>
      <c r="C29" s="54"/>
      <c r="D29" s="54"/>
      <c r="E29" s="54"/>
      <c r="F29" s="54"/>
      <c r="G29" s="54">
        <v>475</v>
      </c>
      <c r="H29" s="54">
        <v>400</v>
      </c>
      <c r="I29" s="54">
        <v>425</v>
      </c>
      <c r="J29" s="54">
        <v>375</v>
      </c>
      <c r="K29" s="54">
        <v>1600</v>
      </c>
      <c r="L29" s="54">
        <v>1760</v>
      </c>
      <c r="M29" s="54">
        <v>1520</v>
      </c>
      <c r="N29" s="54">
        <v>1520</v>
      </c>
      <c r="P29" s="61">
        <f>SUM(C29:N29)</f>
        <v>8075</v>
      </c>
    </row>
    <row r="30" spans="2:16" x14ac:dyDescent="0.3">
      <c r="B30" s="62" t="s">
        <v>38</v>
      </c>
      <c r="C30" s="54"/>
      <c r="D30" s="54"/>
      <c r="E30" s="54"/>
      <c r="F30" s="54"/>
      <c r="G30" s="54">
        <v>261.5</v>
      </c>
      <c r="H30" s="54">
        <v>236</v>
      </c>
      <c r="I30" s="54">
        <v>244.5</v>
      </c>
      <c r="J30" s="54">
        <v>227.5</v>
      </c>
      <c r="K30" s="54">
        <v>644</v>
      </c>
      <c r="L30" s="54">
        <v>698.4</v>
      </c>
      <c r="M30" s="54">
        <v>698.88</v>
      </c>
      <c r="N30" s="54">
        <v>598.88</v>
      </c>
      <c r="P30" s="61">
        <f>SUM(C30:N30)</f>
        <v>3609.6600000000003</v>
      </c>
    </row>
    <row r="32" spans="2:16" x14ac:dyDescent="0.3">
      <c r="N32" s="54" t="s">
        <v>42</v>
      </c>
      <c r="P32" s="61">
        <f>(P29*0.394) + 1515</f>
        <v>4696.55</v>
      </c>
    </row>
    <row r="33" spans="14:16" x14ac:dyDescent="0.3">
      <c r="N33" s="54" t="s">
        <v>43</v>
      </c>
      <c r="P33" s="61">
        <f>P32-P30</f>
        <v>1086.8899999999999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A1CA86-AD08-4725-9B4D-4F2169C2B816}">
  <dimension ref="B1:P35"/>
  <sheetViews>
    <sheetView topLeftCell="A2" workbookViewId="0">
      <selection activeCell="M29" sqref="M29:N29"/>
    </sheetView>
  </sheetViews>
  <sheetFormatPr baseColWidth="10" defaultRowHeight="14.4" x14ac:dyDescent="0.3"/>
  <cols>
    <col min="1" max="1" width="3" customWidth="1"/>
    <col min="2" max="2" width="28" customWidth="1"/>
    <col min="14" max="14" width="20.21875" bestFit="1" customWidth="1"/>
    <col min="15" max="15" width="4" customWidth="1"/>
    <col min="16" max="16" width="11" style="48" customWidth="1"/>
  </cols>
  <sheetData>
    <row r="1" spans="2:16" x14ac:dyDescent="0.3">
      <c r="B1" s="69" t="s">
        <v>9</v>
      </c>
    </row>
    <row r="2" spans="2:16" x14ac:dyDescent="0.3">
      <c r="B2" s="70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>
        <v>19</v>
      </c>
      <c r="D6" s="35">
        <v>19</v>
      </c>
      <c r="E6" s="35">
        <v>19</v>
      </c>
      <c r="F6" s="37">
        <v>19</v>
      </c>
      <c r="G6" s="37">
        <v>19</v>
      </c>
      <c r="H6" s="37">
        <v>19</v>
      </c>
      <c r="I6" s="37">
        <v>16</v>
      </c>
      <c r="J6" s="37">
        <v>19</v>
      </c>
      <c r="K6" s="37">
        <v>19</v>
      </c>
      <c r="L6" s="37">
        <v>19</v>
      </c>
      <c r="M6" s="37">
        <v>19</v>
      </c>
      <c r="N6" s="37">
        <v>19</v>
      </c>
      <c r="O6" s="36"/>
      <c r="P6" s="57">
        <f>SUM(C6:N6)</f>
        <v>225</v>
      </c>
    </row>
    <row r="7" spans="2:16" x14ac:dyDescent="0.3">
      <c r="B7" s="9" t="s">
        <v>21</v>
      </c>
      <c r="C7" s="37">
        <v>22</v>
      </c>
      <c r="D7" s="37">
        <v>19</v>
      </c>
      <c r="E7" s="37">
        <v>21</v>
      </c>
      <c r="F7" s="37">
        <v>21</v>
      </c>
      <c r="G7" s="37">
        <v>18</v>
      </c>
      <c r="H7" s="37">
        <v>12</v>
      </c>
      <c r="I7" s="37">
        <v>17</v>
      </c>
      <c r="J7" s="37">
        <v>17</v>
      </c>
      <c r="K7" s="37">
        <v>20</v>
      </c>
      <c r="L7" s="37">
        <v>23</v>
      </c>
      <c r="M7" s="37">
        <v>19</v>
      </c>
      <c r="N7" s="37">
        <v>15</v>
      </c>
      <c r="O7" s="36"/>
      <c r="P7" s="57">
        <f>SUM(C7:N7)</f>
        <v>224</v>
      </c>
    </row>
    <row r="8" spans="2:16" x14ac:dyDescent="0.3">
      <c r="B8" s="18" t="s">
        <v>22</v>
      </c>
      <c r="C8" s="63">
        <f t="shared" ref="C8:N8" si="0">C7-C6</f>
        <v>3</v>
      </c>
      <c r="D8" s="63">
        <f t="shared" si="0"/>
        <v>0</v>
      </c>
      <c r="E8" s="63">
        <f t="shared" si="0"/>
        <v>2</v>
      </c>
      <c r="F8" s="63">
        <f t="shared" si="0"/>
        <v>2</v>
      </c>
      <c r="G8" s="63">
        <f t="shared" si="0"/>
        <v>-1</v>
      </c>
      <c r="H8" s="63">
        <f t="shared" si="0"/>
        <v>-7</v>
      </c>
      <c r="I8" s="63">
        <f t="shared" si="0"/>
        <v>1</v>
      </c>
      <c r="J8" s="63">
        <f t="shared" si="0"/>
        <v>-2</v>
      </c>
      <c r="K8" s="63">
        <f t="shared" si="0"/>
        <v>1</v>
      </c>
      <c r="L8" s="63">
        <f t="shared" si="0"/>
        <v>4</v>
      </c>
      <c r="M8" s="63">
        <f t="shared" si="0"/>
        <v>0</v>
      </c>
      <c r="N8" s="63">
        <f t="shared" si="0"/>
        <v>-4</v>
      </c>
      <c r="O8" s="36"/>
      <c r="P8" s="57">
        <f>SUM(C8:N8)</f>
        <v>-1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>
        <v>22</v>
      </c>
      <c r="D11" s="11">
        <v>19</v>
      </c>
      <c r="E11" s="11">
        <v>21</v>
      </c>
      <c r="F11" s="11">
        <v>21</v>
      </c>
      <c r="G11" s="11">
        <v>18</v>
      </c>
      <c r="H11" s="11">
        <v>12.5</v>
      </c>
      <c r="I11" s="11">
        <v>17</v>
      </c>
      <c r="J11" s="11">
        <v>17</v>
      </c>
      <c r="K11" s="11">
        <v>20</v>
      </c>
      <c r="L11" s="11">
        <v>23</v>
      </c>
      <c r="M11" s="11">
        <v>19</v>
      </c>
      <c r="N11" s="11">
        <v>15</v>
      </c>
      <c r="P11" s="58">
        <f>SUM(C11:N11)</f>
        <v>224.5</v>
      </c>
    </row>
    <row r="12" spans="2:16" x14ac:dyDescent="0.3">
      <c r="B12" s="9" t="s">
        <v>16</v>
      </c>
      <c r="C12" s="12"/>
      <c r="D12" s="12">
        <v>2</v>
      </c>
      <c r="E12" s="12"/>
      <c r="F12" s="12"/>
      <c r="G12" s="12">
        <v>1</v>
      </c>
      <c r="H12" s="12">
        <v>7.5</v>
      </c>
      <c r="I12" s="12">
        <v>6</v>
      </c>
      <c r="J12" s="12">
        <v>4</v>
      </c>
      <c r="K12" s="12">
        <v>1</v>
      </c>
      <c r="L12" s="12"/>
      <c r="M12" s="12"/>
      <c r="N12" s="12">
        <v>2</v>
      </c>
      <c r="P12" s="58">
        <f>SUM(C12:N12)</f>
        <v>23.5</v>
      </c>
    </row>
    <row r="13" spans="2:16" x14ac:dyDescent="0.3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>
        <v>4</v>
      </c>
      <c r="P13" s="58">
        <f>SUM(C13:N13)</f>
        <v>4</v>
      </c>
    </row>
    <row r="14" spans="2:16" x14ac:dyDescent="0.3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8">
        <f>SUM(C14:N14)</f>
        <v>0</v>
      </c>
    </row>
    <row r="15" spans="2:16" x14ac:dyDescent="0.3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">
      <c r="B17" s="9" t="s">
        <v>6</v>
      </c>
      <c r="C17" s="10">
        <f>C11*Params!$C$5*(1-Params!$C$3)-Params!$C$4</f>
        <v>10045</v>
      </c>
      <c r="D17" s="10">
        <f>D11*Params!$C$5*(1-Params!$C$3)-Params!$C$4</f>
        <v>8665</v>
      </c>
      <c r="E17" s="10">
        <f>E11*Params!$C$5*(1-Params!$C$3)-Params!$C$4</f>
        <v>9585</v>
      </c>
      <c r="F17" s="10">
        <f>F11*Params!$C$5*(1-Params!$C$3)-Params!$C$4</f>
        <v>9585</v>
      </c>
      <c r="G17" s="10">
        <f>G11*Params!$C$5*(1-Params!$C$3)-Params!$C$4</f>
        <v>8205</v>
      </c>
      <c r="H17" s="10">
        <f>H11*Params!$C$5*(1-Params!$C$3)-Params!$C$4</f>
        <v>5675</v>
      </c>
      <c r="I17" s="10">
        <f>I11*Params!$C$5*(1-Params!$C$3)-Params!$C$4</f>
        <v>7745</v>
      </c>
      <c r="J17" s="10">
        <f>J11*Params!$C$5*(1-Params!$C$3)-Params!$C$4</f>
        <v>7745</v>
      </c>
      <c r="K17" s="10">
        <f>K11*Params!$C$5*(1-Params!$C$3)-Params!$C$4</f>
        <v>9125</v>
      </c>
      <c r="L17" s="10">
        <f>L11*Params!$C$5*(1-Params!$C$3)-Params!$C$4</f>
        <v>10505</v>
      </c>
      <c r="M17" s="10">
        <f>M11*Params!$C$5*(1-Params!$C$3)-Params!$C$4</f>
        <v>8665</v>
      </c>
      <c r="N17" s="10">
        <f>N11*Params!$C$5*(1-Params!$C$3)-Params!$C$4</f>
        <v>6825</v>
      </c>
      <c r="O17" s="4"/>
      <c r="P17" s="41">
        <f>SUM(C17:N17)</f>
        <v>102370</v>
      </c>
    </row>
    <row r="18" spans="2:16" x14ac:dyDescent="0.3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3">
      <c r="B19" s="55" t="s">
        <v>44</v>
      </c>
      <c r="C19" s="64"/>
      <c r="D19" s="64">
        <v>217.07</v>
      </c>
      <c r="E19" s="64"/>
      <c r="F19" s="64"/>
      <c r="G19" s="64"/>
      <c r="H19" s="64"/>
      <c r="I19" s="64"/>
      <c r="J19" s="64">
        <v>192.07</v>
      </c>
      <c r="K19" s="64"/>
      <c r="L19" s="64"/>
      <c r="M19" s="64"/>
      <c r="N19" s="64"/>
      <c r="O19" s="4"/>
      <c r="P19" s="65"/>
    </row>
    <row r="20" spans="2:16" x14ac:dyDescent="0.3">
      <c r="B20" s="27" t="s">
        <v>2</v>
      </c>
      <c r="C20" s="28">
        <f>SUM(C17:C18)</f>
        <v>10045</v>
      </c>
      <c r="D20" s="28">
        <f t="shared" ref="D20:N20" si="1">SUM(D17:D19)</f>
        <v>8882.07</v>
      </c>
      <c r="E20" s="28">
        <f t="shared" si="1"/>
        <v>9585</v>
      </c>
      <c r="F20" s="28">
        <f t="shared" si="1"/>
        <v>9585</v>
      </c>
      <c r="G20" s="28">
        <f t="shared" si="1"/>
        <v>8205</v>
      </c>
      <c r="H20" s="28">
        <f t="shared" si="1"/>
        <v>5675</v>
      </c>
      <c r="I20" s="28">
        <f t="shared" si="1"/>
        <v>7745</v>
      </c>
      <c r="J20" s="28">
        <f t="shared" si="1"/>
        <v>7937.07</v>
      </c>
      <c r="K20" s="28">
        <f t="shared" si="1"/>
        <v>9125</v>
      </c>
      <c r="L20" s="28">
        <f t="shared" si="1"/>
        <v>10505</v>
      </c>
      <c r="M20" s="28">
        <f t="shared" si="1"/>
        <v>8665</v>
      </c>
      <c r="N20" s="28">
        <f t="shared" si="1"/>
        <v>6825</v>
      </c>
      <c r="O20" s="5"/>
      <c r="P20" s="42">
        <f>SUM(C20:O20)</f>
        <v>102779.14</v>
      </c>
    </row>
    <row r="21" spans="2:16" x14ac:dyDescent="0.3">
      <c r="B21" s="31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5"/>
    </row>
    <row r="22" spans="2:16" x14ac:dyDescent="0.3">
      <c r="B22" s="29" t="s">
        <v>1</v>
      </c>
      <c r="C22" s="30"/>
      <c r="D22" s="30"/>
      <c r="E22" s="30"/>
      <c r="F22" s="32"/>
      <c r="G22" s="30"/>
      <c r="H22" s="32"/>
      <c r="I22" s="30"/>
      <c r="J22" s="32"/>
      <c r="K22" s="30"/>
      <c r="L22" s="32"/>
      <c r="M22" s="30"/>
      <c r="N22" s="32"/>
      <c r="O22" s="4"/>
      <c r="P22" s="53"/>
    </row>
    <row r="23" spans="2:16" x14ac:dyDescent="0.3">
      <c r="B23" s="9" t="s">
        <v>7</v>
      </c>
      <c r="C23" s="10">
        <v>5114.75</v>
      </c>
      <c r="D23" s="10">
        <v>5114.75</v>
      </c>
      <c r="E23" s="10">
        <v>5114.75</v>
      </c>
      <c r="F23" s="10">
        <v>5114.75</v>
      </c>
      <c r="G23" s="10">
        <v>5114.75</v>
      </c>
      <c r="H23" s="10">
        <v>5114.75</v>
      </c>
      <c r="I23" s="10">
        <v>5082.12</v>
      </c>
      <c r="J23" s="10">
        <v>5205.6899999999996</v>
      </c>
      <c r="K23" s="10">
        <v>5114.75</v>
      </c>
      <c r="L23" s="10">
        <v>5114.75</v>
      </c>
      <c r="M23" s="10">
        <v>5114.75</v>
      </c>
      <c r="N23" s="10">
        <v>4196.2700000000004</v>
      </c>
      <c r="O23" s="4"/>
      <c r="P23" s="43">
        <f>SUM(C23:N23)</f>
        <v>60516.83</v>
      </c>
    </row>
    <row r="24" spans="2:16" x14ac:dyDescent="0.3">
      <c r="B24" s="9" t="s">
        <v>8</v>
      </c>
      <c r="C24" s="10">
        <f>1098.03+1829.35</f>
        <v>2927.38</v>
      </c>
      <c r="D24" s="10">
        <f>1098.03+1827.13</f>
        <v>2925.16</v>
      </c>
      <c r="E24" s="10">
        <f>1098.03+1831.55</f>
        <v>2929.58</v>
      </c>
      <c r="F24" s="10">
        <f>1098.03+1827.13</f>
        <v>2925.16</v>
      </c>
      <c r="G24" s="10">
        <f>1098.03+1850.42</f>
        <v>2948.45</v>
      </c>
      <c r="H24" s="10">
        <f>1098.03+1852.64</f>
        <v>2950.67</v>
      </c>
      <c r="I24" s="10">
        <f>1094.3+1858.86</f>
        <v>2953.16</v>
      </c>
      <c r="J24" s="10">
        <f>1118.54+1899.2</f>
        <v>3017.74</v>
      </c>
      <c r="K24" s="10">
        <f>1098.03+1861.87</f>
        <v>2959.8999999999996</v>
      </c>
      <c r="L24" s="10">
        <f>1098.03+1855.23</f>
        <v>2953.26</v>
      </c>
      <c r="M24" s="10">
        <f>1098.03+1853.01</f>
        <v>2951.04</v>
      </c>
      <c r="N24" s="10">
        <f>911.58+1533.24</f>
        <v>2444.8200000000002</v>
      </c>
      <c r="O24" s="4"/>
      <c r="P24" s="43">
        <f>SUM(C24:N24)</f>
        <v>34886.320000000007</v>
      </c>
    </row>
    <row r="25" spans="2:16" x14ac:dyDescent="0.3">
      <c r="B25" s="55" t="s">
        <v>40</v>
      </c>
      <c r="C25" s="10">
        <v>761.92</v>
      </c>
      <c r="D25" s="10">
        <v>616.79999999999995</v>
      </c>
      <c r="E25" s="10">
        <v>671.2</v>
      </c>
      <c r="F25" s="10">
        <v>671.2</v>
      </c>
      <c r="G25" s="10">
        <v>589.6</v>
      </c>
      <c r="H25" s="10">
        <v>453.6</v>
      </c>
      <c r="I25" s="10">
        <v>562.4</v>
      </c>
      <c r="J25" s="10">
        <v>562.4</v>
      </c>
      <c r="K25" s="10">
        <v>644</v>
      </c>
      <c r="L25" s="10">
        <v>725.6</v>
      </c>
      <c r="M25" s="10">
        <v>616.79999999999995</v>
      </c>
      <c r="N25" s="10">
        <v>547.28</v>
      </c>
      <c r="O25" s="4"/>
      <c r="P25" s="43">
        <f>SUM(C25:N25)</f>
        <v>7422.7999999999993</v>
      </c>
    </row>
    <row r="26" spans="2:16" x14ac:dyDescent="0.3">
      <c r="B26" s="55" t="s">
        <v>44</v>
      </c>
      <c r="C26" s="64"/>
      <c r="D26" s="64">
        <f>29.2+187.87</f>
        <v>217.07</v>
      </c>
      <c r="E26" s="64"/>
      <c r="F26" s="64"/>
      <c r="G26" s="64"/>
      <c r="H26" s="64"/>
      <c r="I26" s="64"/>
      <c r="J26" s="64">
        <v>192.07</v>
      </c>
      <c r="K26" s="64"/>
      <c r="L26" s="64"/>
      <c r="M26" s="64"/>
      <c r="N26" s="64"/>
      <c r="O26" s="4"/>
      <c r="P26" s="43">
        <f>SUM(C26:N26)</f>
        <v>409.14</v>
      </c>
    </row>
    <row r="27" spans="2:16" x14ac:dyDescent="0.3">
      <c r="B27" s="8" t="s">
        <v>3</v>
      </c>
      <c r="C27" s="44">
        <f>SUM(C23:C25)</f>
        <v>8804.0499999999993</v>
      </c>
      <c r="D27" s="44">
        <f t="shared" ref="D27:N27" si="2">SUM(D23:D26)</f>
        <v>8873.7799999999988</v>
      </c>
      <c r="E27" s="44">
        <f t="shared" si="2"/>
        <v>8715.5300000000007</v>
      </c>
      <c r="F27" s="44">
        <f t="shared" si="2"/>
        <v>8711.11</v>
      </c>
      <c r="G27" s="44">
        <f t="shared" si="2"/>
        <v>8652.7999999999993</v>
      </c>
      <c r="H27" s="44">
        <f t="shared" si="2"/>
        <v>8519.02</v>
      </c>
      <c r="I27" s="44">
        <f t="shared" si="2"/>
        <v>8597.68</v>
      </c>
      <c r="J27" s="44">
        <f t="shared" si="2"/>
        <v>8977.9</v>
      </c>
      <c r="K27" s="44">
        <f t="shared" si="2"/>
        <v>8718.65</v>
      </c>
      <c r="L27" s="44">
        <f t="shared" si="2"/>
        <v>8793.61</v>
      </c>
      <c r="M27" s="44">
        <f t="shared" si="2"/>
        <v>8682.59</v>
      </c>
      <c r="N27" s="44">
        <f t="shared" si="2"/>
        <v>7188.37</v>
      </c>
      <c r="O27" s="4"/>
      <c r="P27" s="60">
        <f>SUM(C27:N27)</f>
        <v>103235.09</v>
      </c>
    </row>
    <row r="28" spans="2:16" x14ac:dyDescent="0.3">
      <c r="B28" s="45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5"/>
    </row>
    <row r="29" spans="2:16" x14ac:dyDescent="0.3">
      <c r="B29" s="46" t="s">
        <v>36</v>
      </c>
      <c r="C29" s="47">
        <f t="shared" ref="C29:N29" si="3">C20-C27</f>
        <v>1240.9500000000007</v>
      </c>
      <c r="D29" s="47">
        <f t="shared" si="3"/>
        <v>8.2900000000008731</v>
      </c>
      <c r="E29" s="47">
        <f t="shared" si="3"/>
        <v>869.46999999999935</v>
      </c>
      <c r="F29" s="47">
        <f t="shared" si="3"/>
        <v>873.88999999999942</v>
      </c>
      <c r="G29" s="47">
        <f t="shared" si="3"/>
        <v>-447.79999999999927</v>
      </c>
      <c r="H29" s="47">
        <f t="shared" si="3"/>
        <v>-2844.0200000000004</v>
      </c>
      <c r="I29" s="47">
        <f t="shared" si="3"/>
        <v>-852.68000000000029</v>
      </c>
      <c r="J29" s="47">
        <f t="shared" si="3"/>
        <v>-1040.83</v>
      </c>
      <c r="K29" s="47">
        <f t="shared" si="3"/>
        <v>406.35000000000036</v>
      </c>
      <c r="L29" s="47">
        <f t="shared" si="3"/>
        <v>1711.3899999999994</v>
      </c>
      <c r="M29" s="47">
        <f t="shared" si="3"/>
        <v>-17.590000000000146</v>
      </c>
      <c r="N29" s="47">
        <f t="shared" si="3"/>
        <v>-363.36999999999989</v>
      </c>
      <c r="P29" s="59">
        <f>SUM(C29:O29)</f>
        <v>-455.94999999999982</v>
      </c>
    </row>
    <row r="31" spans="2:16" x14ac:dyDescent="0.3">
      <c r="B31" s="62" t="s">
        <v>37</v>
      </c>
      <c r="C31" s="54">
        <v>1680</v>
      </c>
      <c r="D31" s="54">
        <v>1520</v>
      </c>
      <c r="E31" s="54">
        <v>1680</v>
      </c>
      <c r="F31" s="54">
        <v>1680</v>
      </c>
      <c r="G31" s="54">
        <v>1440</v>
      </c>
      <c r="H31" s="54">
        <v>1040</v>
      </c>
      <c r="I31" s="54">
        <v>1360</v>
      </c>
      <c r="J31" s="54">
        <v>1360</v>
      </c>
      <c r="K31" s="54">
        <v>1600</v>
      </c>
      <c r="L31" s="54">
        <v>1840</v>
      </c>
      <c r="M31" s="54">
        <v>1520</v>
      </c>
      <c r="N31" s="54">
        <v>1200</v>
      </c>
      <c r="P31" s="61">
        <f>SUM(C31:N31)</f>
        <v>17920</v>
      </c>
    </row>
    <row r="32" spans="2:16" x14ac:dyDescent="0.3">
      <c r="B32" s="62" t="s">
        <v>38</v>
      </c>
      <c r="C32" s="54">
        <v>761.92</v>
      </c>
      <c r="D32" s="54">
        <v>616.79999999999995</v>
      </c>
      <c r="E32" s="54">
        <v>671.2</v>
      </c>
      <c r="F32" s="54">
        <v>671.2</v>
      </c>
      <c r="G32" s="54">
        <v>589.6</v>
      </c>
      <c r="H32" s="54">
        <v>453.6</v>
      </c>
      <c r="I32" s="54">
        <v>562.4</v>
      </c>
      <c r="J32" s="54">
        <v>562.4</v>
      </c>
      <c r="K32" s="54">
        <v>644</v>
      </c>
      <c r="L32" s="54">
        <v>725.6</v>
      </c>
      <c r="M32" s="54">
        <v>616.79999999999995</v>
      </c>
      <c r="N32" s="54">
        <v>547.28</v>
      </c>
      <c r="P32" s="61">
        <f>SUM(C32:N32)</f>
        <v>7422.7999999999993</v>
      </c>
    </row>
    <row r="34" spans="14:16" x14ac:dyDescent="0.3">
      <c r="N34" s="54" t="s">
        <v>42</v>
      </c>
      <c r="P34" s="61">
        <f>(P31*0.34) + 1330</f>
        <v>7422.8</v>
      </c>
    </row>
    <row r="35" spans="14:16" x14ac:dyDescent="0.3">
      <c r="N35" s="54" t="s">
        <v>43</v>
      </c>
      <c r="P35" s="61">
        <f>P34-P32</f>
        <v>0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095F1F-C5A4-4C09-80F6-4A2C3B094711}">
  <dimension ref="B1:AA35"/>
  <sheetViews>
    <sheetView tabSelected="1" topLeftCell="A4" workbookViewId="0">
      <selection activeCell="L38" sqref="L38"/>
    </sheetView>
  </sheetViews>
  <sheetFormatPr baseColWidth="10" defaultRowHeight="14.4" x14ac:dyDescent="0.3"/>
  <cols>
    <col min="1" max="1" width="3" customWidth="1"/>
    <col min="2" max="2" width="28" customWidth="1"/>
    <col min="14" max="14" width="20" bestFit="1" customWidth="1"/>
    <col min="15" max="15" width="4" customWidth="1"/>
    <col min="16" max="16" width="11" style="48" customWidth="1"/>
  </cols>
  <sheetData>
    <row r="1" spans="2:16" x14ac:dyDescent="0.3">
      <c r="B1" s="69" t="s">
        <v>9</v>
      </c>
    </row>
    <row r="2" spans="2:16" x14ac:dyDescent="0.3">
      <c r="B2" s="70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>
        <v>19</v>
      </c>
      <c r="D6" s="35"/>
      <c r="E6" s="35"/>
      <c r="F6" s="37"/>
      <c r="G6" s="37"/>
      <c r="H6" s="37"/>
      <c r="I6" s="37"/>
      <c r="J6" s="37"/>
      <c r="K6" s="37"/>
      <c r="L6" s="37"/>
      <c r="M6" s="37"/>
      <c r="N6" s="37"/>
      <c r="O6" s="36"/>
      <c r="P6" s="57">
        <f>SUM(C6:N6)</f>
        <v>19</v>
      </c>
    </row>
    <row r="7" spans="2:16" x14ac:dyDescent="0.3">
      <c r="B7" s="9" t="s">
        <v>21</v>
      </c>
      <c r="C7" s="37">
        <v>21</v>
      </c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6"/>
      <c r="P7" s="57">
        <f>SUM(C7:N7)</f>
        <v>21</v>
      </c>
    </row>
    <row r="8" spans="2:16" x14ac:dyDescent="0.3">
      <c r="B8" s="18" t="s">
        <v>22</v>
      </c>
      <c r="C8" s="63">
        <f t="shared" ref="C8:N8" si="0">C7-C6</f>
        <v>2</v>
      </c>
      <c r="D8" s="63">
        <f t="shared" si="0"/>
        <v>0</v>
      </c>
      <c r="E8" s="63">
        <f t="shared" si="0"/>
        <v>0</v>
      </c>
      <c r="F8" s="63">
        <f t="shared" si="0"/>
        <v>0</v>
      </c>
      <c r="G8" s="63">
        <f t="shared" si="0"/>
        <v>0</v>
      </c>
      <c r="H8" s="63">
        <f t="shared" si="0"/>
        <v>0</v>
      </c>
      <c r="I8" s="63">
        <f t="shared" si="0"/>
        <v>0</v>
      </c>
      <c r="J8" s="63">
        <f t="shared" si="0"/>
        <v>0</v>
      </c>
      <c r="K8" s="63">
        <f t="shared" si="0"/>
        <v>0</v>
      </c>
      <c r="L8" s="63">
        <f t="shared" si="0"/>
        <v>0</v>
      </c>
      <c r="M8" s="63">
        <f t="shared" si="0"/>
        <v>0</v>
      </c>
      <c r="N8" s="63">
        <f t="shared" si="0"/>
        <v>0</v>
      </c>
      <c r="O8" s="36"/>
      <c r="P8" s="57">
        <f>SUM(C8:N8)</f>
        <v>2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>
        <v>21</v>
      </c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P11" s="58">
        <f>SUM(C11:N11)</f>
        <v>21</v>
      </c>
    </row>
    <row r="12" spans="2:16" x14ac:dyDescent="0.3">
      <c r="B12" s="9" t="s">
        <v>16</v>
      </c>
      <c r="C12" s="12">
        <v>1</v>
      </c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P12" s="58">
        <f>SUM(C12:N12)</f>
        <v>1</v>
      </c>
    </row>
    <row r="13" spans="2:16" x14ac:dyDescent="0.3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8">
        <f>SUM(C13:N13)</f>
        <v>0</v>
      </c>
    </row>
    <row r="14" spans="2:16" x14ac:dyDescent="0.3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8">
        <f>SUM(C14:N14)</f>
        <v>0</v>
      </c>
    </row>
    <row r="15" spans="2:16" x14ac:dyDescent="0.3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27" x14ac:dyDescent="0.3">
      <c r="B17" s="9" t="s">
        <v>6</v>
      </c>
      <c r="C17" s="10">
        <f>C11*Params!$C$5*(1-Params!$C$3)-Params!$C$4</f>
        <v>9585</v>
      </c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4"/>
      <c r="P17" s="41">
        <f>SUM(C17:N17)</f>
        <v>9585</v>
      </c>
    </row>
    <row r="18" spans="2:27" x14ac:dyDescent="0.3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27" x14ac:dyDescent="0.3">
      <c r="B19" s="55" t="s">
        <v>44</v>
      </c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4"/>
      <c r="P19" s="65"/>
    </row>
    <row r="20" spans="2:27" x14ac:dyDescent="0.3">
      <c r="B20" s="27" t="s">
        <v>2</v>
      </c>
      <c r="C20" s="28">
        <f>SUM(C17:C18)</f>
        <v>9585</v>
      </c>
      <c r="D20" s="28">
        <f t="shared" ref="D20:N20" si="1">SUM(D17:D19)</f>
        <v>0</v>
      </c>
      <c r="E20" s="28">
        <f t="shared" si="1"/>
        <v>0</v>
      </c>
      <c r="F20" s="28">
        <f t="shared" si="1"/>
        <v>0</v>
      </c>
      <c r="G20" s="28">
        <f t="shared" si="1"/>
        <v>0</v>
      </c>
      <c r="H20" s="28">
        <f t="shared" si="1"/>
        <v>0</v>
      </c>
      <c r="I20" s="28">
        <f t="shared" si="1"/>
        <v>0</v>
      </c>
      <c r="J20" s="28">
        <f t="shared" si="1"/>
        <v>0</v>
      </c>
      <c r="K20" s="28">
        <f t="shared" si="1"/>
        <v>0</v>
      </c>
      <c r="L20" s="28">
        <f t="shared" si="1"/>
        <v>0</v>
      </c>
      <c r="M20" s="28">
        <f t="shared" si="1"/>
        <v>0</v>
      </c>
      <c r="N20" s="28">
        <f t="shared" si="1"/>
        <v>0</v>
      </c>
      <c r="O20" s="5"/>
      <c r="P20" s="42">
        <f>SUM(C20:O20)</f>
        <v>9585</v>
      </c>
    </row>
    <row r="21" spans="2:27" x14ac:dyDescent="0.3">
      <c r="B21" s="31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5"/>
    </row>
    <row r="22" spans="2:27" x14ac:dyDescent="0.3">
      <c r="B22" s="29" t="s">
        <v>1</v>
      </c>
      <c r="C22" s="30"/>
      <c r="D22" s="30"/>
      <c r="E22" s="30"/>
      <c r="F22" s="32"/>
      <c r="G22" s="30"/>
      <c r="H22" s="32"/>
      <c r="I22" s="30"/>
      <c r="J22" s="32"/>
      <c r="K22" s="30"/>
      <c r="L22" s="32"/>
      <c r="M22" s="30"/>
      <c r="N22" s="32"/>
      <c r="O22" s="4"/>
      <c r="P22" s="53"/>
    </row>
    <row r="23" spans="2:27" x14ac:dyDescent="0.3">
      <c r="B23" s="9" t="s">
        <v>7</v>
      </c>
      <c r="C23" s="10">
        <v>3613.26</v>
      </c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4"/>
      <c r="P23" s="43">
        <f t="shared" ref="P23:P28" si="2">SUM(C23:N23)</f>
        <v>3613.26</v>
      </c>
    </row>
    <row r="24" spans="2:27" x14ac:dyDescent="0.3">
      <c r="B24" s="9" t="s">
        <v>8</v>
      </c>
      <c r="C24" s="10">
        <f>1104.08+1863.57</f>
        <v>2967.6499999999996</v>
      </c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4"/>
      <c r="P24" s="43">
        <f t="shared" si="2"/>
        <v>2967.6499999999996</v>
      </c>
    </row>
    <row r="25" spans="2:27" x14ac:dyDescent="0.3">
      <c r="B25" s="55" t="s">
        <v>40</v>
      </c>
      <c r="C25" s="10">
        <v>671.2</v>
      </c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4"/>
      <c r="P25" s="43">
        <f t="shared" si="2"/>
        <v>671.2</v>
      </c>
    </row>
    <row r="26" spans="2:27" x14ac:dyDescent="0.3">
      <c r="B26" s="55" t="s">
        <v>44</v>
      </c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4"/>
      <c r="P26" s="43">
        <f t="shared" si="2"/>
        <v>0</v>
      </c>
    </row>
    <row r="27" spans="2:27" x14ac:dyDescent="0.3">
      <c r="B27" s="55" t="s">
        <v>45</v>
      </c>
      <c r="C27" s="10">
        <v>3000</v>
      </c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4"/>
      <c r="P27" s="43">
        <f t="shared" si="2"/>
        <v>3000</v>
      </c>
    </row>
    <row r="28" spans="2:27" x14ac:dyDescent="0.3">
      <c r="B28" s="8" t="s">
        <v>3</v>
      </c>
      <c r="C28" s="44">
        <f>SUM(C23:C27)</f>
        <v>10252.11</v>
      </c>
      <c r="D28" s="44">
        <f t="shared" ref="D28:N28" si="3">SUM(D23:D26)</f>
        <v>0</v>
      </c>
      <c r="E28" s="44">
        <f t="shared" si="3"/>
        <v>0</v>
      </c>
      <c r="F28" s="44">
        <f t="shared" si="3"/>
        <v>0</v>
      </c>
      <c r="G28" s="44">
        <f t="shared" si="3"/>
        <v>0</v>
      </c>
      <c r="H28" s="44">
        <f t="shared" si="3"/>
        <v>0</v>
      </c>
      <c r="I28" s="44">
        <f t="shared" si="3"/>
        <v>0</v>
      </c>
      <c r="J28" s="44">
        <f t="shared" si="3"/>
        <v>0</v>
      </c>
      <c r="K28" s="44">
        <f t="shared" si="3"/>
        <v>0</v>
      </c>
      <c r="L28" s="44">
        <f t="shared" si="3"/>
        <v>0</v>
      </c>
      <c r="M28" s="44">
        <f t="shared" si="3"/>
        <v>0</v>
      </c>
      <c r="N28" s="44">
        <f t="shared" si="3"/>
        <v>0</v>
      </c>
      <c r="O28" s="4"/>
      <c r="P28" s="60">
        <f t="shared" si="2"/>
        <v>10252.11</v>
      </c>
    </row>
    <row r="29" spans="2:27" x14ac:dyDescent="0.3">
      <c r="B29" s="45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5"/>
    </row>
    <row r="30" spans="2:27" x14ac:dyDescent="0.3">
      <c r="B30" s="66" t="s">
        <v>46</v>
      </c>
      <c r="C30" s="67">
        <v>1500</v>
      </c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4"/>
      <c r="P30" s="68" cm="1">
        <f t="array" ref="P30:AA30">C30:N30</f>
        <v>1500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</row>
    <row r="31" spans="2:27" x14ac:dyDescent="0.3">
      <c r="B31" s="45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5"/>
    </row>
    <row r="32" spans="2:27" x14ac:dyDescent="0.3">
      <c r="B32" s="46" t="s">
        <v>36</v>
      </c>
      <c r="C32" s="47">
        <f t="shared" ref="C32:N32" si="4">C20-C28</f>
        <v>-667.11000000000058</v>
      </c>
      <c r="D32" s="47">
        <f t="shared" si="4"/>
        <v>0</v>
      </c>
      <c r="E32" s="47">
        <f t="shared" si="4"/>
        <v>0</v>
      </c>
      <c r="F32" s="47">
        <f t="shared" si="4"/>
        <v>0</v>
      </c>
      <c r="G32" s="47">
        <f t="shared" si="4"/>
        <v>0</v>
      </c>
      <c r="H32" s="47">
        <f t="shared" si="4"/>
        <v>0</v>
      </c>
      <c r="I32" s="47">
        <f t="shared" si="4"/>
        <v>0</v>
      </c>
      <c r="J32" s="47">
        <f t="shared" si="4"/>
        <v>0</v>
      </c>
      <c r="K32" s="47">
        <f t="shared" si="4"/>
        <v>0</v>
      </c>
      <c r="L32" s="47">
        <f t="shared" si="4"/>
        <v>0</v>
      </c>
      <c r="M32" s="47">
        <f t="shared" si="4"/>
        <v>0</v>
      </c>
      <c r="N32" s="47">
        <f t="shared" si="4"/>
        <v>0</v>
      </c>
      <c r="P32" s="59">
        <f>SUM(C32:O32)</f>
        <v>-667.11000000000058</v>
      </c>
    </row>
    <row r="34" spans="2:16" x14ac:dyDescent="0.3">
      <c r="B34" s="62" t="s">
        <v>37</v>
      </c>
      <c r="C34" s="54">
        <v>1680</v>
      </c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P34" s="61">
        <f>SUM(C34:N34)</f>
        <v>1680</v>
      </c>
    </row>
    <row r="35" spans="2:16" x14ac:dyDescent="0.3">
      <c r="B35" s="62" t="s">
        <v>38</v>
      </c>
      <c r="C35" s="54">
        <v>671.2</v>
      </c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P35" s="61">
        <f>SUM(C35:N35)</f>
        <v>671.2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5"/>
  <sheetViews>
    <sheetView workbookViewId="0">
      <selection activeCell="C8" sqref="C8"/>
    </sheetView>
  </sheetViews>
  <sheetFormatPr baseColWidth="10" defaultRowHeight="14.4" x14ac:dyDescent="0.3"/>
  <cols>
    <col min="1" max="1" width="2" customWidth="1"/>
    <col min="2" max="2" width="32" customWidth="1"/>
    <col min="3" max="3" width="28.77734375" customWidth="1"/>
  </cols>
  <sheetData>
    <row r="2" spans="2:3" ht="30" customHeight="1" x14ac:dyDescent="0.3">
      <c r="B2" s="71" t="s">
        <v>23</v>
      </c>
      <c r="C2" s="72"/>
    </row>
    <row r="3" spans="2:3" ht="30" customHeight="1" x14ac:dyDescent="0.3">
      <c r="B3" s="33" t="s">
        <v>12</v>
      </c>
      <c r="C3" s="34">
        <v>0.08</v>
      </c>
    </row>
    <row r="4" spans="2:3" ht="30" customHeight="1" x14ac:dyDescent="0.3">
      <c r="B4" s="33" t="s">
        <v>13</v>
      </c>
      <c r="C4" s="33">
        <v>75</v>
      </c>
    </row>
    <row r="5" spans="2:3" ht="30" customHeight="1" x14ac:dyDescent="0.3">
      <c r="B5" s="33" t="s">
        <v>41</v>
      </c>
      <c r="C5" s="33">
        <v>500</v>
      </c>
    </row>
  </sheetData>
  <mergeCells count="1">
    <mergeCell ref="B2:C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4"/>
  <sheetViews>
    <sheetView workbookViewId="0">
      <selection activeCell="C5" sqref="C5"/>
    </sheetView>
  </sheetViews>
  <sheetFormatPr baseColWidth="10" defaultRowHeight="14.4" x14ac:dyDescent="0.3"/>
  <cols>
    <col min="2" max="2" width="20.33203125" customWidth="1"/>
  </cols>
  <sheetData>
    <row r="2" spans="2:3" ht="16.95" customHeight="1" x14ac:dyDescent="0.3">
      <c r="B2" s="73" t="s">
        <v>33</v>
      </c>
      <c r="C2" s="73"/>
    </row>
    <row r="3" spans="2:3" ht="16.95" customHeight="1" x14ac:dyDescent="0.3">
      <c r="B3" s="38" t="s">
        <v>34</v>
      </c>
      <c r="C3" s="39">
        <f>'2023'!P27+'2024'!P29+'2025'!P32</f>
        <v>-1393.9999999999982</v>
      </c>
    </row>
    <row r="4" spans="2:3" ht="16.95" customHeight="1" x14ac:dyDescent="0.3">
      <c r="B4" s="38" t="s">
        <v>39</v>
      </c>
      <c r="C4" s="40">
        <f>'2023'!P12+'2024'!P12+'2025'!P12</f>
        <v>37.5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105</vt:i4>
      </vt:variant>
    </vt:vector>
  </HeadingPairs>
  <TitlesOfParts>
    <vt:vector size="110" baseType="lpstr">
      <vt:lpstr>2023</vt:lpstr>
      <vt:lpstr>2024</vt:lpstr>
      <vt:lpstr>2025</vt:lpstr>
      <vt:lpstr>Params</vt:lpstr>
      <vt:lpstr>Synthése</vt:lpstr>
      <vt:lpstr>'2023'!AOUT</vt:lpstr>
      <vt:lpstr>'2024'!AOUT</vt:lpstr>
      <vt:lpstr>'2025'!AOUT</vt:lpstr>
      <vt:lpstr>'2023'!AVRIL</vt:lpstr>
      <vt:lpstr>'2024'!AVRIL</vt:lpstr>
      <vt:lpstr>'2025'!AVRIL</vt:lpstr>
      <vt:lpstr>'2023'!CRA</vt:lpstr>
      <vt:lpstr>'2024'!CRA</vt:lpstr>
      <vt:lpstr>'2025'!CRA</vt:lpstr>
      <vt:lpstr>'2023'!CRA_ASTREINTE</vt:lpstr>
      <vt:lpstr>'2024'!CRA_ASTREINTE</vt:lpstr>
      <vt:lpstr>'2025'!CRA_ASTREINTE</vt:lpstr>
      <vt:lpstr>'2023'!CRA_CP</vt:lpstr>
      <vt:lpstr>'2024'!CRA_CP</vt:lpstr>
      <vt:lpstr>'2025'!CRA_CP</vt:lpstr>
      <vt:lpstr>'2023'!CRA_PRODUCTION</vt:lpstr>
      <vt:lpstr>'2024'!CRA_PRODUCTION</vt:lpstr>
      <vt:lpstr>'2025'!CRA_PRODUCTION</vt:lpstr>
      <vt:lpstr>'2023'!CRA_SANS_SOLDE</vt:lpstr>
      <vt:lpstr>'2024'!CRA_SANS_SOLDE</vt:lpstr>
      <vt:lpstr>'2025'!CRA_SANS_SOLDE</vt:lpstr>
      <vt:lpstr>'2023'!DECEMBRE</vt:lpstr>
      <vt:lpstr>'2024'!DECEMBRE</vt:lpstr>
      <vt:lpstr>'2025'!DECEMBRE</vt:lpstr>
      <vt:lpstr>'2023'!ENTREES</vt:lpstr>
      <vt:lpstr>'2024'!ENTREES</vt:lpstr>
      <vt:lpstr>'2025'!ENTREES</vt:lpstr>
      <vt:lpstr>'2023'!ENTREES_ASTREINTE</vt:lpstr>
      <vt:lpstr>'2024'!ENTREES_ASTREINTE</vt:lpstr>
      <vt:lpstr>'2025'!ENTREES_ASTREINTE</vt:lpstr>
      <vt:lpstr>'2023'!ENTREES_FACTURE</vt:lpstr>
      <vt:lpstr>'2024'!ENTREES_FACTURE</vt:lpstr>
      <vt:lpstr>'2025'!ENTREES_FACTURE</vt:lpstr>
      <vt:lpstr>'2023'!FEVRIER</vt:lpstr>
      <vt:lpstr>'2024'!FEVRIER</vt:lpstr>
      <vt:lpstr>'2025'!FEVRIER</vt:lpstr>
      <vt:lpstr>'2023'!FRAIS_KM</vt:lpstr>
      <vt:lpstr>'2024'!FRAIS_KM</vt:lpstr>
      <vt:lpstr>'2025'!FRAIS_KM</vt:lpstr>
      <vt:lpstr>'2023'!JANVIER</vt:lpstr>
      <vt:lpstr>'2024'!JANVIER</vt:lpstr>
      <vt:lpstr>'2025'!JANVIER</vt:lpstr>
      <vt:lpstr>'2023'!JUILLET</vt:lpstr>
      <vt:lpstr>'2024'!JUILLET</vt:lpstr>
      <vt:lpstr>'2025'!JUILLET</vt:lpstr>
      <vt:lpstr>'2023'!JUIN</vt:lpstr>
      <vt:lpstr>'2024'!JUIN</vt:lpstr>
      <vt:lpstr>'2025'!JUIN</vt:lpstr>
      <vt:lpstr>'2023'!MAI</vt:lpstr>
      <vt:lpstr>'2024'!MAI</vt:lpstr>
      <vt:lpstr>'2025'!MAI</vt:lpstr>
      <vt:lpstr>'2023'!MARS</vt:lpstr>
      <vt:lpstr>'2024'!MARS</vt:lpstr>
      <vt:lpstr>'2025'!MARS</vt:lpstr>
      <vt:lpstr>'2023'!MOIS</vt:lpstr>
      <vt:lpstr>'2024'!MOIS</vt:lpstr>
      <vt:lpstr>'2025'!MOIS</vt:lpstr>
      <vt:lpstr>'2023'!NOMBRE_KM</vt:lpstr>
      <vt:lpstr>'2024'!NOMBRE_KM</vt:lpstr>
      <vt:lpstr>'2025'!NOMBRE_KM</vt:lpstr>
      <vt:lpstr>'2023'!NOVEMBRE</vt:lpstr>
      <vt:lpstr>'2024'!NOVEMBRE</vt:lpstr>
      <vt:lpstr>'2025'!NOVEMBRE</vt:lpstr>
      <vt:lpstr>'2023'!OCTOBRE</vt:lpstr>
      <vt:lpstr>'2024'!OCTOBRE</vt:lpstr>
      <vt:lpstr>'2025'!OCTOBRE</vt:lpstr>
      <vt:lpstr>'2023'!REPAS</vt:lpstr>
      <vt:lpstr>'2024'!REPAS</vt:lpstr>
      <vt:lpstr>'2025'!REPAS</vt:lpstr>
      <vt:lpstr>'2023'!REPAS_ACQUIS</vt:lpstr>
      <vt:lpstr>'2024'!REPAS_ACQUIS</vt:lpstr>
      <vt:lpstr>'2025'!REPAS_ACQUIS</vt:lpstr>
      <vt:lpstr>'2023'!REPAS_PRIS</vt:lpstr>
      <vt:lpstr>'2024'!REPAS_PRIS</vt:lpstr>
      <vt:lpstr>'2025'!REPAS_PRIS</vt:lpstr>
      <vt:lpstr>'2023'!REPAS_SOLDE</vt:lpstr>
      <vt:lpstr>'2024'!REPAS_SOLDE</vt:lpstr>
      <vt:lpstr>'2025'!REPAS_SOLDE</vt:lpstr>
      <vt:lpstr>'2023'!SEPTEMBRE</vt:lpstr>
      <vt:lpstr>'2024'!SEPTEMBRE</vt:lpstr>
      <vt:lpstr>'2025'!SEPTEMBRE</vt:lpstr>
      <vt:lpstr>'2023'!SOLDE</vt:lpstr>
      <vt:lpstr>'2024'!SOLDE</vt:lpstr>
      <vt:lpstr>'2025'!SOLDE</vt:lpstr>
      <vt:lpstr>'2023'!SORTIES</vt:lpstr>
      <vt:lpstr>'2024'!SORTIES</vt:lpstr>
      <vt:lpstr>'2025'!SORTIES</vt:lpstr>
      <vt:lpstr>'2023'!SORTIES_CHARGES_SOCIALES_PATRONALES</vt:lpstr>
      <vt:lpstr>'2024'!SORTIES_CHARGES_SOCIALES_PATRONALES</vt:lpstr>
      <vt:lpstr>'2025'!SORTIES_CHARGES_SOCIALES_PATRONALES</vt:lpstr>
      <vt:lpstr>'2023'!SORTIES_FRAIS_KM</vt:lpstr>
      <vt:lpstr>'2024'!SORTIES_FRAIS_KM</vt:lpstr>
      <vt:lpstr>'2025'!SORTIES_FRAIS_KM</vt:lpstr>
      <vt:lpstr>'2023'!SORTIES_SALAIRE_NET</vt:lpstr>
      <vt:lpstr>'2024'!SORTIES_SALAIRE_NET</vt:lpstr>
      <vt:lpstr>'2025'!SORTIES_SALAIRE_NET</vt:lpstr>
      <vt:lpstr>'2023'!TOTAL</vt:lpstr>
      <vt:lpstr>'2024'!TOTAL</vt:lpstr>
      <vt:lpstr>'2025'!TOTAL</vt:lpstr>
      <vt:lpstr>'2023'!TOTAL_ENTREES</vt:lpstr>
      <vt:lpstr>'2024'!TOTAL_ENTREES</vt:lpstr>
      <vt:lpstr>'2025'!TOTAL_ENTREES</vt:lpstr>
      <vt:lpstr>'2023'!TOTAL_SORTIES</vt:lpstr>
      <vt:lpstr>'2024'!TOTAL_SORTIES</vt:lpstr>
      <vt:lpstr>'2025'!TOTAL_SORTIES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2025-02-06T11:41:56Z</dcterms:modified>
</cp:coreProperties>
</file>