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1\Normal\"/>
    </mc:Choice>
  </mc:AlternateContent>
  <xr:revisionPtr revIDLastSave="0" documentId="13_ncr:1_{26595C8F-2346-40D5-803E-3CCC5471C65A}" xr6:coauthVersionLast="47" xr6:coauthVersionMax="47" xr10:uidLastSave="{00000000-0000-0000-0000-000000000000}"/>
  <bookViews>
    <workbookView xWindow="-108" yWindow="-108" windowWidth="23256" windowHeight="14856" activeTab="2" xr2:uid="{00000000-000D-0000-FFFF-FFFF00000000}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'2025'!$B$14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'2025'!$B$17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'2023'!$B$30</definedName>
    <definedName name="FRAIS_KM" localSheetId="1">'2024'!$B$31</definedName>
    <definedName name="FRAIS_KM" localSheetId="2">'2025'!$B$31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'2023'!$B$29</definedName>
    <definedName name="NOMBRE_KM" localSheetId="1">'2024'!$B$30</definedName>
    <definedName name="NOMBRE_KM" localSheetId="2">'2025'!$B$30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'2023'!$B$27</definedName>
    <definedName name="SOLDE" localSheetId="1">'2024'!$B$28</definedName>
    <definedName name="SOLDE" localSheetId="2">'2025'!$B$28</definedName>
    <definedName name="SORTIES" localSheetId="0">'2023'!$B$21</definedName>
    <definedName name="SORTIES" localSheetId="1">'2024'!$B$21</definedName>
    <definedName name="SORTIES" localSheetId="2">'2025'!$B$21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 localSheetId="2">'2025'!$B$23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KM" localSheetId="2">'2025'!$B$24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 localSheetId="2">'2025'!$B$22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'2024'!$B$19</definedName>
    <definedName name="TOTAL_ENTREES" localSheetId="2">'2025'!$B$19</definedName>
    <definedName name="TOTAL_ENTREES">#REF!</definedName>
    <definedName name="TOTAL_SORTIES" localSheetId="0">'2023'!$B$25</definedName>
    <definedName name="TOTAL_SORTIES" localSheetId="1">'2024'!$B$26</definedName>
    <definedName name="TOTAL_SORTIES" localSheetId="2">'2025'!$B$26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3" i="13" l="1"/>
  <c r="C4" i="13"/>
  <c r="C5" i="13"/>
  <c r="P31" i="16"/>
  <c r="P30" i="16"/>
  <c r="M26" i="16"/>
  <c r="K26" i="16"/>
  <c r="J26" i="16"/>
  <c r="I26" i="16"/>
  <c r="G26" i="16"/>
  <c r="E26" i="16"/>
  <c r="P25" i="16"/>
  <c r="P24" i="16"/>
  <c r="N26" i="16"/>
  <c r="L26" i="16"/>
  <c r="H26" i="16"/>
  <c r="F26" i="16"/>
  <c r="D26" i="16"/>
  <c r="P22" i="16"/>
  <c r="P18" i="16"/>
  <c r="N19" i="16"/>
  <c r="M19" i="16"/>
  <c r="L19" i="16"/>
  <c r="L28" i="16" s="1"/>
  <c r="K19" i="16"/>
  <c r="J19" i="16"/>
  <c r="I19" i="16"/>
  <c r="H19" i="16"/>
  <c r="G19" i="16"/>
  <c r="F19" i="16"/>
  <c r="E19" i="16"/>
  <c r="E28" i="16" s="1"/>
  <c r="D19" i="16"/>
  <c r="D28" i="16" s="1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L26" i="15"/>
  <c r="P31" i="15"/>
  <c r="P30" i="15"/>
  <c r="P33" i="15" s="1"/>
  <c r="N26" i="15"/>
  <c r="I26" i="15"/>
  <c r="P25" i="15"/>
  <c r="P24" i="15"/>
  <c r="N23" i="15"/>
  <c r="M23" i="15"/>
  <c r="M26" i="15" s="1"/>
  <c r="L23" i="15"/>
  <c r="K23" i="15"/>
  <c r="K26" i="15" s="1"/>
  <c r="J23" i="15"/>
  <c r="J26" i="15" s="1"/>
  <c r="I23" i="15"/>
  <c r="H23" i="15"/>
  <c r="H26" i="15" s="1"/>
  <c r="G23" i="15"/>
  <c r="G26" i="15" s="1"/>
  <c r="F23" i="15"/>
  <c r="F26" i="15" s="1"/>
  <c r="E23" i="15"/>
  <c r="E26" i="15" s="1"/>
  <c r="D23" i="15"/>
  <c r="D26" i="15" s="1"/>
  <c r="C23" i="15"/>
  <c r="P22" i="15"/>
  <c r="H19" i="15"/>
  <c r="P18" i="15"/>
  <c r="N17" i="15"/>
  <c r="N19" i="15" s="1"/>
  <c r="N28" i="15" s="1"/>
  <c r="M17" i="15"/>
  <c r="M19" i="15" s="1"/>
  <c r="L17" i="15"/>
  <c r="L19" i="15" s="1"/>
  <c r="K17" i="15"/>
  <c r="K19" i="15" s="1"/>
  <c r="K28" i="15" s="1"/>
  <c r="J17" i="15"/>
  <c r="J19" i="15" s="1"/>
  <c r="I17" i="15"/>
  <c r="I19" i="15" s="1"/>
  <c r="I28" i="15" s="1"/>
  <c r="H17" i="15"/>
  <c r="G17" i="15"/>
  <c r="G19" i="15" s="1"/>
  <c r="F17" i="15"/>
  <c r="F19" i="15" s="1"/>
  <c r="F28" i="15" s="1"/>
  <c r="E17" i="15"/>
  <c r="E19" i="15" s="1"/>
  <c r="D17" i="15"/>
  <c r="D19" i="15" s="1"/>
  <c r="D28" i="15" s="1"/>
  <c r="C17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0" i="14"/>
  <c r="P29" i="14"/>
  <c r="P32" i="14" s="1"/>
  <c r="I25" i="14"/>
  <c r="G25" i="14"/>
  <c r="F25" i="14"/>
  <c r="E25" i="14"/>
  <c r="P24" i="14"/>
  <c r="N23" i="14"/>
  <c r="N25" i="14" s="1"/>
  <c r="M23" i="14"/>
  <c r="M25" i="14" s="1"/>
  <c r="L23" i="14"/>
  <c r="L25" i="14" s="1"/>
  <c r="K23" i="14"/>
  <c r="K25" i="14" s="1"/>
  <c r="J23" i="14"/>
  <c r="J25" i="14" s="1"/>
  <c r="I23" i="14"/>
  <c r="H23" i="14"/>
  <c r="H25" i="14" s="1"/>
  <c r="G23" i="14"/>
  <c r="F23" i="14"/>
  <c r="E23" i="14"/>
  <c r="D23" i="14"/>
  <c r="D25" i="14" s="1"/>
  <c r="C23" i="14"/>
  <c r="C25" i="14" s="1"/>
  <c r="P22" i="14"/>
  <c r="K19" i="14"/>
  <c r="I19" i="14"/>
  <c r="C19" i="14"/>
  <c r="P18" i="14"/>
  <c r="N17" i="14"/>
  <c r="N19" i="14" s="1"/>
  <c r="N27" i="14" s="1"/>
  <c r="M17" i="14"/>
  <c r="M19" i="14" s="1"/>
  <c r="L17" i="14"/>
  <c r="L19" i="14" s="1"/>
  <c r="K17" i="14"/>
  <c r="J17" i="14"/>
  <c r="J19" i="14" s="1"/>
  <c r="I17" i="14"/>
  <c r="H17" i="14"/>
  <c r="H19" i="14" s="1"/>
  <c r="G17" i="14"/>
  <c r="G19" i="14" s="1"/>
  <c r="F17" i="14"/>
  <c r="F19" i="14" s="1"/>
  <c r="F27" i="14" s="1"/>
  <c r="E17" i="14"/>
  <c r="E19" i="14" s="1"/>
  <c r="D17" i="14"/>
  <c r="C17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J27" i="14" l="1"/>
  <c r="P23" i="15"/>
  <c r="P17" i="15"/>
  <c r="I27" i="14"/>
  <c r="P8" i="14"/>
  <c r="P33" i="14"/>
  <c r="P17" i="14"/>
  <c r="C19" i="15"/>
  <c r="G27" i="14"/>
  <c r="E27" i="14"/>
  <c r="M27" i="14"/>
  <c r="P34" i="15"/>
  <c r="M28" i="16"/>
  <c r="L28" i="15"/>
  <c r="C26" i="15"/>
  <c r="P26" i="15" s="1"/>
  <c r="H27" i="14"/>
  <c r="P8" i="15"/>
  <c r="E28" i="15"/>
  <c r="G28" i="16"/>
  <c r="K28" i="16"/>
  <c r="H28" i="16"/>
  <c r="I28" i="16"/>
  <c r="J28" i="16"/>
  <c r="N28" i="16"/>
  <c r="P8" i="16"/>
  <c r="F28" i="16"/>
  <c r="P25" i="14"/>
  <c r="M28" i="15"/>
  <c r="G28" i="15"/>
  <c r="L27" i="14"/>
  <c r="K27" i="14"/>
  <c r="P19" i="15"/>
  <c r="J28" i="15"/>
  <c r="H28" i="15"/>
  <c r="D19" i="14"/>
  <c r="D27" i="14" s="1"/>
  <c r="C27" i="14"/>
  <c r="P23" i="14"/>
  <c r="C28" i="15" l="1"/>
  <c r="P28" i="15"/>
  <c r="P19" i="14"/>
  <c r="P27" i="14"/>
  <c r="C23" i="16" l="1"/>
  <c r="C17" i="16"/>
  <c r="C19" i="16" l="1"/>
  <c r="P17" i="16"/>
  <c r="C26" i="16"/>
  <c r="P26" i="16" s="1"/>
  <c r="P23" i="16"/>
  <c r="C28" i="16" l="1"/>
  <c r="P28" i="16" s="1"/>
  <c r="P19" i="16"/>
</calcChain>
</file>

<file path=xl/sharedStrings.xml><?xml version="1.0" encoding="utf-8"?>
<sst xmlns="http://schemas.openxmlformats.org/spreadsheetml/2006/main" count="123" uniqueCount="47">
  <si>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</si>
  <si>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</si>
  <si>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</si>
  <si>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</si>
  <si>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</si>
  <si>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</si>
  <si>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</si>
  <si>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</si>
  <si>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</si>
  <si>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</si>
  <si>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</si>
  <si>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</si>
  <si>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</si>
  <si>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</si>
  <si>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</si>
  <si>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</si>
  <si>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</si>
  <si>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</si>
  <si>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</si>
  <si>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</si>
  <si>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</si>
  <si>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</si>
  <si>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</si>
  <si>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</si>
  <si>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</si>
  <si>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</si>
  <si>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</si>
  <si>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</si>
  <si>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</si>
  <si>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</si>
  <si>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</si>
  <si>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</si>
  <si>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</si>
  <si>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</si>
  <si>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</si>
  <si>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</si>
  <si>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</si>
  <si>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</si>
  <si>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</si>
  <si>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</si>
  <si>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</si>
  <si>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2023)</t>
  </si>
  <si>
    <t>TJM (Octobre 2023)</t>
  </si>
  <si>
    <t>Frais KM annuel à payer</t>
  </si>
  <si>
    <t>Régularisation Frais KM</t>
  </si>
  <si>
    <t>Achat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</si>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</sst>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opLeftCell="A2" workbookViewId="0">
      <selection activeCell="N32" sqref="N32:P33"/>
    </sheetView>
  </sheetViews>
  <sheetFormatPr baseColWidth="10" defaultRowHeight="14.4" x14ac:dyDescent="0.3"/>
  <cols>
    <col min="1" max="1" width="3" customWidth="1"/>
    <col min="2" max="2" width="28" customWidth="1"/>
    <col min="14" max="14" width="18.88671875" bestFit="1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10</v>
      </c>
      <c r="O6" s="36"/>
      <c r="P6" s="58">
        <f>SUM(C6:N6)</f>
        <v>219</v>
      </c>
    </row>
    <row r="7" spans="2:16" x14ac:dyDescent="0.3">
      <c r="B7" s="9" t="s">
        <v>21</v>
      </c>
      <c r="C7" s="37">
        <v>20</v>
      </c>
      <c r="D7" s="37">
        <v>20</v>
      </c>
      <c r="E7" s="37">
        <v>19</v>
      </c>
      <c r="F7" s="37">
        <v>17</v>
      </c>
      <c r="G7" s="37">
        <v>19</v>
      </c>
      <c r="H7" s="37">
        <v>18</v>
      </c>
      <c r="I7" s="37">
        <v>14</v>
      </c>
      <c r="J7" s="37">
        <v>18</v>
      </c>
      <c r="K7" s="37">
        <v>21</v>
      </c>
      <c r="L7" s="37">
        <v>14</v>
      </c>
      <c r="M7" s="37">
        <v>20</v>
      </c>
      <c r="N7" s="37">
        <v>19</v>
      </c>
      <c r="O7" s="36"/>
      <c r="P7" s="58">
        <f>SUM(C7:N7)</f>
        <v>219</v>
      </c>
    </row>
    <row r="8" spans="2:16" x14ac:dyDescent="0.3">
      <c r="B8" s="18" t="s">
        <v>22</v>
      </c>
      <c r="C8" s="64">
        <f t="shared" ref="C8:N8" si="0">C7-C6</f>
        <v>1</v>
      </c>
      <c r="D8" s="64">
        <f t="shared" si="0"/>
        <v>1</v>
      </c>
      <c r="E8" s="64">
        <f t="shared" si="0"/>
        <v>0</v>
      </c>
      <c r="F8" s="64">
        <f t="shared" si="0"/>
        <v>-2</v>
      </c>
      <c r="G8" s="64">
        <f t="shared" si="0"/>
        <v>0</v>
      </c>
      <c r="H8" s="64">
        <f t="shared" si="0"/>
        <v>-1</v>
      </c>
      <c r="I8" s="64">
        <f t="shared" si="0"/>
        <v>-5</v>
      </c>
      <c r="J8" s="64">
        <f t="shared" si="0"/>
        <v>-1</v>
      </c>
      <c r="K8" s="64">
        <f t="shared" si="0"/>
        <v>2</v>
      </c>
      <c r="L8" s="64">
        <f t="shared" si="0"/>
        <v>-5</v>
      </c>
      <c r="M8" s="64">
        <f t="shared" si="0"/>
        <v>1</v>
      </c>
      <c r="N8" s="64">
        <f t="shared" si="0"/>
        <v>9</v>
      </c>
      <c r="O8" s="36"/>
      <c r="P8" s="58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20</v>
      </c>
      <c r="D11" s="11">
        <v>20</v>
      </c>
      <c r="E11" s="11">
        <v>19</v>
      </c>
      <c r="F11" s="11">
        <v>17</v>
      </c>
      <c r="G11" s="11">
        <v>19</v>
      </c>
      <c r="H11" s="11">
        <v>18</v>
      </c>
      <c r="I11" s="11">
        <v>14</v>
      </c>
      <c r="J11" s="11">
        <v>18</v>
      </c>
      <c r="K11" s="11">
        <v>21</v>
      </c>
      <c r="L11" s="11">
        <v>14</v>
      </c>
      <c r="M11" s="11">
        <v>20</v>
      </c>
      <c r="N11" s="11">
        <v>19</v>
      </c>
      <c r="P11" s="59">
        <f>SUM(C11:N11)</f>
        <v>219</v>
      </c>
    </row>
    <row r="12" spans="2:16" x14ac:dyDescent="0.3">
      <c r="B12" s="9" t="s">
        <v>16</v>
      </c>
      <c r="C12" s="12">
        <v>2</v>
      </c>
      <c r="D12" s="12"/>
      <c r="E12" s="12">
        <v>4</v>
      </c>
      <c r="F12" s="12">
        <v>2</v>
      </c>
      <c r="G12" s="12">
        <v>1</v>
      </c>
      <c r="H12" s="12">
        <v>4</v>
      </c>
      <c r="I12" s="12">
        <v>6</v>
      </c>
      <c r="J12" s="12">
        <v>4</v>
      </c>
      <c r="K12" s="12"/>
      <c r="L12" s="12">
        <v>8</v>
      </c>
      <c r="M12" s="12">
        <v>1</v>
      </c>
      <c r="N12" s="12">
        <v>1</v>
      </c>
      <c r="P12" s="59">
        <f>SUM(C12:N12)</f>
        <v>33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9309</v>
      </c>
      <c r="D17" s="10">
        <f>D11*Params!$C$5*(1-Params!$C$3)-Params!$C$4</f>
        <v>9309</v>
      </c>
      <c r="E17" s="10">
        <f>E11*Params!$C$5*(1-Params!$C$3)-Params!$C$4</f>
        <v>8839.8000000000011</v>
      </c>
      <c r="F17" s="10">
        <f>F11*Params!$C$5*(1-Params!$C$3)-Params!$C$4</f>
        <v>7901.4000000000005</v>
      </c>
      <c r="G17" s="10">
        <f>G11*Params!$C$5*(1-Params!$C$3)-Params!$C$4</f>
        <v>8839.8000000000011</v>
      </c>
      <c r="H17" s="10">
        <f>H11*Params!$C$5*(1-Params!$C$3)-Params!$C$4</f>
        <v>8370.6</v>
      </c>
      <c r="I17" s="10">
        <f>I11*Params!$C$5*(1-Params!$C$3)-Params!$C$4</f>
        <v>6493.8</v>
      </c>
      <c r="J17" s="10">
        <f>J11*Params!$C$5*(1-Params!$C$3)-Params!$C$4</f>
        <v>8370.6</v>
      </c>
      <c r="K17" s="10">
        <f>K11*Params!$C$5*(1-Params!$C$3)-Params!$C$4</f>
        <v>9778.2000000000007</v>
      </c>
      <c r="L17" s="10">
        <f>L11*Params!$C$6*(1-Params!$C$3)-Params!$C$4</f>
        <v>7137.8</v>
      </c>
      <c r="M17" s="10">
        <f>M11*Params!$C$6*(1-Params!$C$3)-Params!$C$4</f>
        <v>10229</v>
      </c>
      <c r="N17" s="10">
        <f>N11*Params!$C$6*(1-Params!$C$3)-Params!$C$4</f>
        <v>9713.8000000000011</v>
      </c>
      <c r="O17" s="4"/>
      <c r="P17" s="41">
        <f>SUM(C17:N17)</f>
        <v>104292.80000000002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9309</v>
      </c>
      <c r="D19" s="28">
        <f t="shared" si="1"/>
        <v>9309</v>
      </c>
      <c r="E19" s="28">
        <f t="shared" si="1"/>
        <v>8839.8000000000011</v>
      </c>
      <c r="F19" s="28">
        <f t="shared" si="1"/>
        <v>7901.4000000000005</v>
      </c>
      <c r="G19" s="28">
        <f t="shared" si="1"/>
        <v>8839.8000000000011</v>
      </c>
      <c r="H19" s="28">
        <f t="shared" si="1"/>
        <v>8370.6</v>
      </c>
      <c r="I19" s="28">
        <f t="shared" si="1"/>
        <v>6493.8</v>
      </c>
      <c r="J19" s="28">
        <f t="shared" si="1"/>
        <v>8370.6</v>
      </c>
      <c r="K19" s="28">
        <f t="shared" si="1"/>
        <v>9778.2000000000007</v>
      </c>
      <c r="L19" s="28">
        <f t="shared" si="1"/>
        <v>7137.8</v>
      </c>
      <c r="M19" s="28">
        <f t="shared" si="1"/>
        <v>10229</v>
      </c>
      <c r="N19" s="28">
        <f t="shared" si="1"/>
        <v>9713.8000000000011</v>
      </c>
      <c r="O19" s="5"/>
      <c r="P19" s="42">
        <f>SUM(C19:N19)</f>
        <v>104292.80000000002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5252.56</v>
      </c>
      <c r="D22" s="10">
        <v>5252.56</v>
      </c>
      <c r="E22" s="10">
        <v>5252.56</v>
      </c>
      <c r="F22" s="10">
        <v>5252.56</v>
      </c>
      <c r="G22" s="10">
        <v>5252.56</v>
      </c>
      <c r="H22" s="10">
        <v>5252.56</v>
      </c>
      <c r="I22" s="10">
        <v>5252.56</v>
      </c>
      <c r="J22" s="10">
        <v>5252.56</v>
      </c>
      <c r="K22" s="10">
        <v>5252.56</v>
      </c>
      <c r="L22" s="10">
        <v>5252.56</v>
      </c>
      <c r="M22" s="10">
        <v>5252.56</v>
      </c>
      <c r="N22" s="10">
        <v>5156.75</v>
      </c>
      <c r="O22" s="4"/>
      <c r="P22" s="43">
        <f>SUM(C22:N22)</f>
        <v>62934.909999999996</v>
      </c>
    </row>
    <row r="23" spans="2:16" x14ac:dyDescent="0.3">
      <c r="B23" s="9" t="s">
        <v>8</v>
      </c>
      <c r="C23" s="10">
        <f>1085.74+1838.06</f>
        <v>2923.8</v>
      </c>
      <c r="D23" s="10">
        <f>1085.74+1843.31</f>
        <v>2929.05</v>
      </c>
      <c r="E23" s="10">
        <f>1085.74+1838.06</f>
        <v>2923.8</v>
      </c>
      <c r="F23" s="10">
        <f>1085.74+1848.59</f>
        <v>2934.33</v>
      </c>
      <c r="G23" s="10">
        <f>1085.74+1845.95</f>
        <v>2931.69</v>
      </c>
      <c r="H23" s="10">
        <f>1085.74+1842.02</f>
        <v>2927.76</v>
      </c>
      <c r="I23" s="10">
        <f>1085.74+1849.91</f>
        <v>2935.65</v>
      </c>
      <c r="J23" s="10">
        <f>1085.74+1855.16</f>
        <v>2940.9</v>
      </c>
      <c r="K23" s="10">
        <f>1085.74+1849.91</f>
        <v>2935.65</v>
      </c>
      <c r="L23" s="10">
        <f>1085.74+1839.38</f>
        <v>2925.12</v>
      </c>
      <c r="M23" s="10">
        <f>1085.74+1860.42</f>
        <v>2946.16</v>
      </c>
      <c r="N23" s="10">
        <f>1074.63+1810.96</f>
        <v>2885.59</v>
      </c>
      <c r="O23" s="4"/>
      <c r="P23" s="43">
        <f>SUM(C23:N23)</f>
        <v>35139.5</v>
      </c>
    </row>
    <row r="24" spans="2:16" x14ac:dyDescent="0.3">
      <c r="B24" s="55" t="s">
        <v>40</v>
      </c>
      <c r="C24" s="56">
        <v>358.4</v>
      </c>
      <c r="D24" s="56">
        <v>358.4</v>
      </c>
      <c r="E24" s="56">
        <v>345.48</v>
      </c>
      <c r="F24" s="56">
        <v>331.2</v>
      </c>
      <c r="G24" s="56">
        <v>358.4</v>
      </c>
      <c r="H24" s="56">
        <v>344.8</v>
      </c>
      <c r="I24" s="56">
        <v>290.39999999999998</v>
      </c>
      <c r="J24" s="56">
        <v>344.8</v>
      </c>
      <c r="K24" s="56">
        <v>385.6</v>
      </c>
      <c r="L24" s="56">
        <v>290.39999999999998</v>
      </c>
      <c r="M24" s="56">
        <v>372</v>
      </c>
      <c r="N24" s="56">
        <v>528.52</v>
      </c>
      <c r="O24" s="4"/>
      <c r="P24" s="43">
        <f>SUM(C24:N24)</f>
        <v>4308.4000000000005</v>
      </c>
    </row>
    <row r="25" spans="2:16" x14ac:dyDescent="0.3">
      <c r="B25" s="8" t="s">
        <v>3</v>
      </c>
      <c r="C25" s="44">
        <f t="shared" ref="C25:N25" si="2">SUM(C22:C24)</f>
        <v>8534.76</v>
      </c>
      <c r="D25" s="44">
        <f t="shared" si="2"/>
        <v>8540.01</v>
      </c>
      <c r="E25" s="44">
        <f t="shared" si="2"/>
        <v>8521.84</v>
      </c>
      <c r="F25" s="44">
        <f t="shared" si="2"/>
        <v>8518.09</v>
      </c>
      <c r="G25" s="44">
        <f t="shared" si="2"/>
        <v>8542.65</v>
      </c>
      <c r="H25" s="44">
        <f t="shared" si="2"/>
        <v>8525.1200000000008</v>
      </c>
      <c r="I25" s="44">
        <f t="shared" si="2"/>
        <v>8478.61</v>
      </c>
      <c r="J25" s="44">
        <f t="shared" si="2"/>
        <v>8538.26</v>
      </c>
      <c r="K25" s="44">
        <f t="shared" si="2"/>
        <v>8573.8100000000013</v>
      </c>
      <c r="L25" s="44">
        <f t="shared" si="2"/>
        <v>8468.08</v>
      </c>
      <c r="M25" s="44">
        <f t="shared" si="2"/>
        <v>8570.7200000000012</v>
      </c>
      <c r="N25" s="44">
        <f t="shared" si="2"/>
        <v>8570.86</v>
      </c>
      <c r="O25" s="4"/>
      <c r="P25" s="61">
        <f>SUM(C25:N25)</f>
        <v>102382.81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774.23999999999978</v>
      </c>
      <c r="D27" s="47">
        <f t="shared" si="3"/>
        <v>768.98999999999978</v>
      </c>
      <c r="E27" s="47">
        <f t="shared" si="3"/>
        <v>317.96000000000095</v>
      </c>
      <c r="F27" s="47">
        <f t="shared" si="3"/>
        <v>-616.6899999999996</v>
      </c>
      <c r="G27" s="47">
        <f t="shared" si="3"/>
        <v>297.15000000000146</v>
      </c>
      <c r="H27" s="47">
        <f t="shared" si="3"/>
        <v>-154.52000000000044</v>
      </c>
      <c r="I27" s="47">
        <f t="shared" si="3"/>
        <v>-1984.8100000000004</v>
      </c>
      <c r="J27" s="47">
        <f t="shared" si="3"/>
        <v>-167.65999999999985</v>
      </c>
      <c r="K27" s="47">
        <f t="shared" si="3"/>
        <v>1204.3899999999994</v>
      </c>
      <c r="L27" s="47">
        <f t="shared" si="3"/>
        <v>-1330.2799999999997</v>
      </c>
      <c r="M27" s="47">
        <f t="shared" si="3"/>
        <v>1658.2799999999988</v>
      </c>
      <c r="N27" s="47">
        <f t="shared" si="3"/>
        <v>1142.9400000000005</v>
      </c>
      <c r="P27" s="60">
        <f>SUM(C27:N27)</f>
        <v>1909.9900000000007</v>
      </c>
    </row>
    <row r="29" spans="2:16" x14ac:dyDescent="0.3">
      <c r="B29" s="63" t="s">
        <v>37</v>
      </c>
      <c r="C29" s="54">
        <v>800</v>
      </c>
      <c r="D29" s="54">
        <v>800</v>
      </c>
      <c r="E29" s="54">
        <v>760</v>
      </c>
      <c r="F29" s="54">
        <v>680</v>
      </c>
      <c r="G29" s="54">
        <v>760</v>
      </c>
      <c r="H29" s="54">
        <v>720</v>
      </c>
      <c r="I29" s="54">
        <v>560</v>
      </c>
      <c r="J29" s="54">
        <v>720</v>
      </c>
      <c r="K29" s="54">
        <v>840</v>
      </c>
      <c r="L29" s="54">
        <v>560</v>
      </c>
      <c r="M29" s="54">
        <v>800</v>
      </c>
      <c r="N29" s="54">
        <v>760</v>
      </c>
      <c r="P29" s="62">
        <f>SUM(C29:N29)</f>
        <v>8760</v>
      </c>
    </row>
    <row r="30" spans="2:16" x14ac:dyDescent="0.3">
      <c r="B30" s="63" t="s">
        <v>38</v>
      </c>
      <c r="C30" s="54">
        <v>358.4</v>
      </c>
      <c r="D30" s="54">
        <v>358.4</v>
      </c>
      <c r="E30" s="54">
        <v>345.48</v>
      </c>
      <c r="F30" s="54">
        <v>331.2</v>
      </c>
      <c r="G30" s="54">
        <v>358.4</v>
      </c>
      <c r="H30" s="54">
        <v>344.8</v>
      </c>
      <c r="I30" s="54">
        <v>290.39999999999998</v>
      </c>
      <c r="J30" s="54">
        <v>344.8</v>
      </c>
      <c r="K30" s="54">
        <v>385.6</v>
      </c>
      <c r="L30" s="54">
        <v>290.39999999999998</v>
      </c>
      <c r="M30" s="54">
        <v>372</v>
      </c>
      <c r="N30" s="54">
        <v>258.39999999999998</v>
      </c>
      <c r="P30" s="62">
        <f>SUM(C30:N30)</f>
        <v>4038.2800000000007</v>
      </c>
    </row>
    <row r="32" spans="2:16" x14ac:dyDescent="0.3">
      <c r="N32" s="54" t="s">
        <v>43</v>
      </c>
      <c r="P32" s="62">
        <f>(P29*0.34)+1330</f>
        <v>4308.3999999999996</v>
      </c>
    </row>
    <row r="33" spans="14:16" x14ac:dyDescent="0.3">
      <c r="N33" s="54" t="s">
        <v>44</v>
      </c>
      <c r="P33" s="62">
        <f>P32-P30</f>
        <v>270.11999999999898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9EAE6-4948-4FCA-A4A6-52448940FB79}">
  <dimension ref="B1:P34"/>
  <sheetViews>
    <sheetView topLeftCell="A2" workbookViewId="0">
      <selection activeCell="L26" sqref="L26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10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8">
        <f>SUM(C6:N6)</f>
        <v>219</v>
      </c>
    </row>
    <row r="7" spans="2:16" x14ac:dyDescent="0.3">
      <c r="B7" s="9" t="s">
        <v>21</v>
      </c>
      <c r="C7" s="37">
        <v>17</v>
      </c>
      <c r="D7" s="37">
        <v>21</v>
      </c>
      <c r="E7" s="37">
        <v>21</v>
      </c>
      <c r="F7" s="37">
        <v>17</v>
      </c>
      <c r="G7" s="37">
        <v>14</v>
      </c>
      <c r="H7" s="37">
        <v>16</v>
      </c>
      <c r="I7" s="37">
        <v>18</v>
      </c>
      <c r="J7" s="37">
        <v>21</v>
      </c>
      <c r="K7" s="37">
        <v>21</v>
      </c>
      <c r="L7" s="37">
        <v>23</v>
      </c>
      <c r="M7" s="37">
        <v>18</v>
      </c>
      <c r="N7" s="37">
        <v>20</v>
      </c>
      <c r="O7" s="36"/>
      <c r="P7" s="58">
        <f>SUM(C7:N7)</f>
        <v>227</v>
      </c>
    </row>
    <row r="8" spans="2:16" x14ac:dyDescent="0.3">
      <c r="B8" s="18" t="s">
        <v>22</v>
      </c>
      <c r="C8" s="64">
        <f t="shared" ref="C8:N8" si="0">C7-C6</f>
        <v>-2</v>
      </c>
      <c r="D8" s="64">
        <f t="shared" si="0"/>
        <v>2</v>
      </c>
      <c r="E8" s="64">
        <f t="shared" si="0"/>
        <v>2</v>
      </c>
      <c r="F8" s="64">
        <f t="shared" si="0"/>
        <v>-2</v>
      </c>
      <c r="G8" s="64">
        <f t="shared" si="0"/>
        <v>-5</v>
      </c>
      <c r="H8" s="64">
        <f t="shared" si="0"/>
        <v>-3</v>
      </c>
      <c r="I8" s="64">
        <f t="shared" si="0"/>
        <v>8</v>
      </c>
      <c r="J8" s="64">
        <f t="shared" si="0"/>
        <v>2</v>
      </c>
      <c r="K8" s="64">
        <f t="shared" si="0"/>
        <v>2</v>
      </c>
      <c r="L8" s="64">
        <f t="shared" si="0"/>
        <v>4</v>
      </c>
      <c r="M8" s="64">
        <f t="shared" si="0"/>
        <v>-1</v>
      </c>
      <c r="N8" s="64">
        <f t="shared" si="0"/>
        <v>1</v>
      </c>
      <c r="O8" s="36"/>
      <c r="P8" s="58">
        <f>SUM(C8:N8)</f>
        <v>8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17</v>
      </c>
      <c r="D11" s="11">
        <v>21</v>
      </c>
      <c r="E11" s="11">
        <v>21</v>
      </c>
      <c r="F11" s="11">
        <v>17</v>
      </c>
      <c r="G11" s="11">
        <v>14</v>
      </c>
      <c r="H11" s="11">
        <v>16</v>
      </c>
      <c r="I11" s="11">
        <v>18</v>
      </c>
      <c r="J11" s="11">
        <v>21</v>
      </c>
      <c r="K11" s="11">
        <v>21</v>
      </c>
      <c r="L11" s="11">
        <v>23</v>
      </c>
      <c r="M11" s="11">
        <v>17.5</v>
      </c>
      <c r="N11" s="11">
        <v>20</v>
      </c>
      <c r="P11" s="59">
        <f>SUM(C11:N11)</f>
        <v>226.5</v>
      </c>
    </row>
    <row r="12" spans="2:16" x14ac:dyDescent="0.3">
      <c r="B12" s="9" t="s">
        <v>16</v>
      </c>
      <c r="C12" s="12">
        <v>5</v>
      </c>
      <c r="D12" s="12"/>
      <c r="E12" s="12"/>
      <c r="F12" s="12">
        <v>4</v>
      </c>
      <c r="G12" s="12">
        <v>5</v>
      </c>
      <c r="H12" s="12">
        <v>4</v>
      </c>
      <c r="I12" s="12">
        <v>0</v>
      </c>
      <c r="J12" s="12"/>
      <c r="K12" s="12"/>
      <c r="L12" s="12"/>
      <c r="M12" s="12">
        <v>1.5</v>
      </c>
      <c r="N12" s="12">
        <v>1</v>
      </c>
      <c r="P12" s="59">
        <f>SUM(C12:N12)</f>
        <v>20.5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>
        <v>5</v>
      </c>
      <c r="J13" s="12"/>
      <c r="K13" s="12"/>
      <c r="L13" s="12"/>
      <c r="M13" s="12"/>
      <c r="N13" s="12"/>
      <c r="P13" s="59">
        <f>SUM(C13:N13)</f>
        <v>5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8683.4</v>
      </c>
      <c r="D17" s="10">
        <f>D11*Params!C6*(1-Params!$C$3)-Params!$C$4</f>
        <v>10744.2</v>
      </c>
      <c r="E17" s="10">
        <f>E11*Params!$C$6*(1-Params!$C$3)-Params!$C$4</f>
        <v>10744.2</v>
      </c>
      <c r="F17" s="10">
        <f>F11*Params!$C$6*(1-Params!$C$3)-Params!$C$4</f>
        <v>8683.4</v>
      </c>
      <c r="G17" s="10">
        <f>G11*Params!$C$6*(1-Params!$C$3)-Params!$C$4</f>
        <v>7137.8</v>
      </c>
      <c r="H17" s="10">
        <f>H11*Params!$C$6*(1-Params!$C$3)-Params!$C$4</f>
        <v>8168.2000000000007</v>
      </c>
      <c r="I17" s="10">
        <f>I11*Params!$C$6*(1-Params!$C$3)-Params!$C$4</f>
        <v>9198.6</v>
      </c>
      <c r="J17" s="10">
        <f>J11*Params!$C$6*(1-Params!$C$3)-Params!$C$4</f>
        <v>10744.2</v>
      </c>
      <c r="K17" s="10">
        <f>K11*Params!$C$6*(1-Params!$C$3)-Params!$C$4</f>
        <v>10744.2</v>
      </c>
      <c r="L17" s="10">
        <f>L11*Params!$C$6*(1-Params!$C$3)-Params!$C$4</f>
        <v>11774.6</v>
      </c>
      <c r="M17" s="10">
        <f>M11*Params!$C$6*(1-Params!$C$3)-Params!$C$4</f>
        <v>8941</v>
      </c>
      <c r="N17" s="10">
        <f>N11*Params!$C$6*(1-Params!$C$3)-Params!$C$4</f>
        <v>10229</v>
      </c>
      <c r="O17" s="4"/>
      <c r="P17" s="41">
        <f>SUM(C17:N17)</f>
        <v>115792.8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8683.4</v>
      </c>
      <c r="D19" s="28">
        <f t="shared" si="1"/>
        <v>10744.2</v>
      </c>
      <c r="E19" s="28">
        <f t="shared" si="1"/>
        <v>10744.2</v>
      </c>
      <c r="F19" s="28">
        <f t="shared" si="1"/>
        <v>8683.4</v>
      </c>
      <c r="G19" s="28">
        <f t="shared" si="1"/>
        <v>7137.8</v>
      </c>
      <c r="H19" s="28">
        <f t="shared" si="1"/>
        <v>8168.2000000000007</v>
      </c>
      <c r="I19" s="28">
        <f t="shared" si="1"/>
        <v>9198.6</v>
      </c>
      <c r="J19" s="28">
        <f t="shared" si="1"/>
        <v>10744.2</v>
      </c>
      <c r="K19" s="28">
        <f t="shared" si="1"/>
        <v>10744.2</v>
      </c>
      <c r="L19" s="28">
        <f t="shared" si="1"/>
        <v>11774.6</v>
      </c>
      <c r="M19" s="28">
        <f t="shared" si="1"/>
        <v>8941</v>
      </c>
      <c r="N19" s="28">
        <f t="shared" si="1"/>
        <v>10229</v>
      </c>
      <c r="O19" s="5"/>
      <c r="P19" s="42">
        <f>SUM(C19:N19)</f>
        <v>115792.8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5243.57</v>
      </c>
      <c r="D22" s="10">
        <v>5581.84</v>
      </c>
      <c r="E22" s="10">
        <v>5581.84</v>
      </c>
      <c r="F22" s="10">
        <v>5581.84</v>
      </c>
      <c r="G22" s="10">
        <v>5581.84</v>
      </c>
      <c r="H22" s="10">
        <v>5581.84</v>
      </c>
      <c r="I22" s="10">
        <v>4227.7</v>
      </c>
      <c r="J22" s="10">
        <v>5581.84</v>
      </c>
      <c r="K22" s="10">
        <v>5581.84</v>
      </c>
      <c r="L22" s="10">
        <v>5581.84</v>
      </c>
      <c r="M22" s="10">
        <v>5481.5</v>
      </c>
      <c r="N22" s="10">
        <v>5481.5</v>
      </c>
      <c r="O22" s="4"/>
      <c r="P22" s="43">
        <f>SUM(C22:N22)</f>
        <v>65088.989999999991</v>
      </c>
    </row>
    <row r="23" spans="2:16" x14ac:dyDescent="0.3">
      <c r="B23" s="9" t="s">
        <v>8</v>
      </c>
      <c r="C23" s="10">
        <f>1099.29+1858.65</f>
        <v>2957.94</v>
      </c>
      <c r="D23" s="10">
        <f>1164.3+1985.76</f>
        <v>3150.06</v>
      </c>
      <c r="E23" s="10">
        <f>1164.3+2965.18</f>
        <v>4129.4799999999996</v>
      </c>
      <c r="F23" s="10">
        <f>1164.3+2310.73</f>
        <v>3475.0299999999997</v>
      </c>
      <c r="G23" s="10">
        <f>1164.3+2346.56</f>
        <v>3510.8599999999997</v>
      </c>
      <c r="H23" s="10">
        <f>1164.3+2349.17</f>
        <v>3513.4700000000003</v>
      </c>
      <c r="I23" s="10">
        <f>904.36+1802.26</f>
        <v>2706.62</v>
      </c>
      <c r="J23" s="10">
        <f>1164.3+2338.84</f>
        <v>3503.1400000000003</v>
      </c>
      <c r="K23" s="10">
        <f>1164.3+2338.84</f>
        <v>3503.1400000000003</v>
      </c>
      <c r="L23" s="10">
        <f>1164.3+2338.84</f>
        <v>3503.1400000000003</v>
      </c>
      <c r="M23" s="10">
        <f>1157.32+2306.28</f>
        <v>3463.6000000000004</v>
      </c>
      <c r="N23" s="10">
        <f>1157.32+2309.92</f>
        <v>3467.24</v>
      </c>
      <c r="O23" s="4"/>
      <c r="P23" s="43">
        <f>SUM(C23:N23)</f>
        <v>40883.719999999994</v>
      </c>
    </row>
    <row r="24" spans="2:16" x14ac:dyDescent="0.3">
      <c r="B24" s="55" t="s">
        <v>40</v>
      </c>
      <c r="C24" s="56">
        <v>331.2</v>
      </c>
      <c r="D24" s="56">
        <v>385.6</v>
      </c>
      <c r="E24" s="56">
        <v>285.60000000000002</v>
      </c>
      <c r="F24" s="56">
        <v>331.2</v>
      </c>
      <c r="G24" s="56">
        <v>304</v>
      </c>
      <c r="H24" s="56">
        <v>317.60000000000002</v>
      </c>
      <c r="I24" s="56">
        <v>344.8</v>
      </c>
      <c r="J24" s="56">
        <v>385.6</v>
      </c>
      <c r="K24" s="56">
        <v>385.6</v>
      </c>
      <c r="L24" s="56">
        <v>412.8</v>
      </c>
      <c r="M24" s="56">
        <v>406</v>
      </c>
      <c r="N24" s="56">
        <v>724.4</v>
      </c>
      <c r="O24" s="4"/>
      <c r="P24" s="43">
        <f>SUM(C24:N24)</f>
        <v>4614.3999999999996</v>
      </c>
    </row>
    <row r="25" spans="2:16" x14ac:dyDescent="0.3">
      <c r="B25" s="9" t="s">
        <v>45</v>
      </c>
      <c r="C25" s="10"/>
      <c r="D25" s="10"/>
      <c r="E25" s="10"/>
      <c r="F25" s="10"/>
      <c r="G25" s="10"/>
      <c r="H25" s="10"/>
      <c r="I25" s="10"/>
      <c r="J25" s="10"/>
      <c r="K25" s="10"/>
      <c r="L25" s="10">
        <v>724.17</v>
      </c>
      <c r="M25" s="10"/>
      <c r="N25" s="10"/>
      <c r="O25" s="4"/>
      <c r="P25" s="43">
        <f>SUM(C25:N25)</f>
        <v>724.17</v>
      </c>
    </row>
    <row r="26" spans="2:16" x14ac:dyDescent="0.3">
      <c r="B26" s="8" t="s">
        <v>3</v>
      </c>
      <c r="C26" s="44">
        <f t="shared" ref="C26:N26" si="2">SUM(C22:C24)</f>
        <v>8532.7100000000009</v>
      </c>
      <c r="D26" s="44">
        <f t="shared" si="2"/>
        <v>9117.5</v>
      </c>
      <c r="E26" s="44">
        <f t="shared" si="2"/>
        <v>9996.92</v>
      </c>
      <c r="F26" s="44">
        <f t="shared" si="2"/>
        <v>9388.07</v>
      </c>
      <c r="G26" s="44">
        <f t="shared" si="2"/>
        <v>9396.7000000000007</v>
      </c>
      <c r="H26" s="44">
        <f t="shared" si="2"/>
        <v>9412.9100000000017</v>
      </c>
      <c r="I26" s="44">
        <f t="shared" si="2"/>
        <v>7279.12</v>
      </c>
      <c r="J26" s="44">
        <f t="shared" si="2"/>
        <v>9470.58</v>
      </c>
      <c r="K26" s="44">
        <f t="shared" si="2"/>
        <v>9470.58</v>
      </c>
      <c r="L26" s="44">
        <f>SUM(L22:L25)</f>
        <v>10221.949999999999</v>
      </c>
      <c r="M26" s="44">
        <f t="shared" si="2"/>
        <v>9351.1</v>
      </c>
      <c r="N26" s="44">
        <f t="shared" si="2"/>
        <v>9673.14</v>
      </c>
      <c r="O26" s="4"/>
      <c r="P26" s="61">
        <f>SUM(C26:N26)</f>
        <v>111311.28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150.68999999999869</v>
      </c>
      <c r="D28" s="47">
        <f t="shared" si="3"/>
        <v>1626.7000000000007</v>
      </c>
      <c r="E28" s="47">
        <f t="shared" si="3"/>
        <v>747.28000000000065</v>
      </c>
      <c r="F28" s="47">
        <f t="shared" si="3"/>
        <v>-704.67000000000007</v>
      </c>
      <c r="G28" s="47">
        <f t="shared" si="3"/>
        <v>-2258.9000000000005</v>
      </c>
      <c r="H28" s="47">
        <f t="shared" si="3"/>
        <v>-1244.7100000000009</v>
      </c>
      <c r="I28" s="47">
        <f t="shared" si="3"/>
        <v>1919.4800000000005</v>
      </c>
      <c r="J28" s="47">
        <f t="shared" si="3"/>
        <v>1273.6200000000008</v>
      </c>
      <c r="K28" s="47">
        <f t="shared" si="3"/>
        <v>1273.6200000000008</v>
      </c>
      <c r="L28" s="47">
        <f t="shared" si="3"/>
        <v>1552.6500000000015</v>
      </c>
      <c r="M28" s="47">
        <f t="shared" si="3"/>
        <v>-410.10000000000036</v>
      </c>
      <c r="N28" s="47">
        <f t="shared" si="3"/>
        <v>555.86000000000058</v>
      </c>
      <c r="P28" s="60">
        <f>SUM(C28:N28)</f>
        <v>4481.5200000000023</v>
      </c>
    </row>
    <row r="30" spans="2:16" x14ac:dyDescent="0.3">
      <c r="B30" s="63" t="s">
        <v>37</v>
      </c>
      <c r="C30" s="54">
        <v>680</v>
      </c>
      <c r="D30" s="54">
        <v>840</v>
      </c>
      <c r="E30" s="54">
        <v>840</v>
      </c>
      <c r="F30" s="54">
        <v>680</v>
      </c>
      <c r="G30" s="54">
        <v>600</v>
      </c>
      <c r="H30" s="54">
        <v>640</v>
      </c>
      <c r="I30" s="54">
        <v>720</v>
      </c>
      <c r="J30" s="54">
        <v>840</v>
      </c>
      <c r="K30" s="54">
        <v>840</v>
      </c>
      <c r="L30" s="54">
        <v>920</v>
      </c>
      <c r="M30" s="54">
        <v>900</v>
      </c>
      <c r="N30" s="54">
        <v>1160</v>
      </c>
      <c r="P30" s="62">
        <f>SUM(C30:N30)</f>
        <v>9660</v>
      </c>
    </row>
    <row r="31" spans="2:16" x14ac:dyDescent="0.3">
      <c r="B31" s="63" t="s">
        <v>38</v>
      </c>
      <c r="C31" s="54">
        <v>331.2</v>
      </c>
      <c r="D31" s="54">
        <v>385.6</v>
      </c>
      <c r="E31" s="54">
        <v>285.60000000000002</v>
      </c>
      <c r="F31" s="54">
        <v>331.2</v>
      </c>
      <c r="G31" s="54">
        <v>304</v>
      </c>
      <c r="H31" s="54">
        <v>317.60000000000002</v>
      </c>
      <c r="I31" s="54">
        <v>344.8</v>
      </c>
      <c r="J31" s="54">
        <v>385.6</v>
      </c>
      <c r="K31" s="54">
        <v>385.6</v>
      </c>
      <c r="L31" s="54">
        <v>412.8</v>
      </c>
      <c r="M31" s="54">
        <v>406</v>
      </c>
      <c r="N31" s="54">
        <v>724.4</v>
      </c>
      <c r="P31" s="62">
        <f>SUM(C31:N31)</f>
        <v>4614.3999999999996</v>
      </c>
    </row>
    <row r="33" spans="14:16" x14ac:dyDescent="0.3">
      <c r="N33" s="54" t="s">
        <v>43</v>
      </c>
      <c r="P33" s="62">
        <f>(P30*0.34)+1330</f>
        <v>4614.3999999999996</v>
      </c>
    </row>
    <row r="34" spans="14:16" x14ac:dyDescent="0.3">
      <c r="N34" s="54" t="s">
        <v>44</v>
      </c>
      <c r="P34" s="62">
        <f>P33-P31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F6FF3-5783-4203-B617-202F14A57B6A}">
  <dimension ref="B1:P31"/>
  <sheetViews>
    <sheetView tabSelected="1" topLeftCell="A2" workbookViewId="0">
      <selection activeCell="I36" sqref="I36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/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8">
        <f>SUM(C6:N6)</f>
        <v>19</v>
      </c>
    </row>
    <row r="7" spans="2:16" x14ac:dyDescent="0.3">
      <c r="B7" s="9" t="s">
        <v>21</v>
      </c>
      <c r="C7" s="37">
        <v>18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8">
        <f>SUM(C7:N7)</f>
        <v>18</v>
      </c>
    </row>
    <row r="8" spans="2:16" x14ac:dyDescent="0.3">
      <c r="B8" s="18" t="s">
        <v>22</v>
      </c>
      <c r="C8" s="64">
        <f t="shared" ref="C8:N8" si="0">C7-C6</f>
        <v>-1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-1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18.5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9">
        <f>SUM(C11:N11)</f>
        <v>18.5</v>
      </c>
    </row>
    <row r="12" spans="2:16" x14ac:dyDescent="0.3">
      <c r="B12" s="9" t="s">
        <v>16</v>
      </c>
      <c r="C12" s="12">
        <v>3.5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9">
        <f>SUM(C12:N12)</f>
        <v>3.5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9456.2000000000007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9456.2000000000007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9456.2000000000007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9456.2000000000007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5480.04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5480.04</v>
      </c>
    </row>
    <row r="23" spans="2:16" x14ac:dyDescent="0.3">
      <c r="B23" s="9" t="s">
        <v>8</v>
      </c>
      <c r="C23" s="10">
        <f>1163.34+2315.07</f>
        <v>3478.41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3478.41</v>
      </c>
    </row>
    <row r="24" spans="2:16" x14ac:dyDescent="0.3">
      <c r="B24" s="55" t="s">
        <v>40</v>
      </c>
      <c r="C24" s="56">
        <v>474.68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4"/>
      <c r="P24" s="43">
        <f>SUM(C24:N24)</f>
        <v>474.68</v>
      </c>
    </row>
    <row r="25" spans="2:16" x14ac:dyDescent="0.3">
      <c r="B25" s="9" t="s">
        <v>45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4"/>
      <c r="P25" s="43">
        <f>SUM(C25:N25)</f>
        <v>0</v>
      </c>
    </row>
    <row r="26" spans="2:16" x14ac:dyDescent="0.3">
      <c r="B26" s="8" t="s">
        <v>3</v>
      </c>
      <c r="C26" s="44">
        <f t="shared" ref="C26:N26" si="2">SUM(C22:C24)</f>
        <v>9433.130000000001</v>
      </c>
      <c r="D26" s="44">
        <f t="shared" si="2"/>
        <v>0</v>
      </c>
      <c r="E26" s="44">
        <f t="shared" si="2"/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>SUM(L22:L25)</f>
        <v>0</v>
      </c>
      <c r="M26" s="44">
        <f t="shared" si="2"/>
        <v>0</v>
      </c>
      <c r="N26" s="44">
        <f t="shared" si="2"/>
        <v>0</v>
      </c>
      <c r="O26" s="4"/>
      <c r="P26" s="61">
        <f>SUM(C26:N26)</f>
        <v>9433.130000000001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23.069999999999709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60">
        <f>SUM(C28:N28)</f>
        <v>23.069999999999709</v>
      </c>
    </row>
    <row r="30" spans="2:16" x14ac:dyDescent="0.3">
      <c r="B30" s="63" t="s">
        <v>37</v>
      </c>
      <c r="C30" s="54">
        <v>1102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P30" s="62">
        <f>SUM(C30:N30)</f>
        <v>1102</v>
      </c>
    </row>
    <row r="31" spans="2:16" x14ac:dyDescent="0.3">
      <c r="B31" s="63" t="s">
        <v>38</v>
      </c>
      <c r="C31" s="54">
        <v>474.68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P31" s="62">
        <f>SUM(C31:N31)</f>
        <v>474.68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7" t="s">
        <v>23</v>
      </c>
      <c r="C2" s="68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510</v>
      </c>
    </row>
    <row r="6" spans="2:3" ht="24" customHeight="1" x14ac:dyDescent="0.3">
      <c r="B6" s="33" t="s">
        <v>42</v>
      </c>
      <c r="C6" s="33">
        <v>560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9" t="s">
        <v>33</v>
      </c>
      <c r="C2" s="69"/>
    </row>
    <row r="3" spans="2:3" ht="16.95" customHeight="1" x14ac:dyDescent="0.3">
      <c r="B3" s="38" t="s">
        <v>34</v>
      </c>
      <c r="C3" s="39">
        <f>('2023'!P27)+('2024'!P28)+'2025'!P28</f>
        <v>6414.5800000000027</v>
      </c>
    </row>
    <row r="4" spans="2:3" ht="16.95" customHeight="1" x14ac:dyDescent="0.3">
      <c r="B4" s="38" t="s">
        <v>39</v>
      </c>
      <c r="C4" s="40">
        <f>'2023'!P12+'2024'!P12+'2025'!P12</f>
        <v>57</v>
      </c>
    </row>
    <row r="5" spans="2:3" x14ac:dyDescent="0.3">
      <c r="B5" t="s">
        <v>46</v>
      </c>
      <c r="C5">
        <f>(2.08*25)-C4</f>
        <v>-5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2025-02-05T23:05:28Z</dcterms:modified>
</cp:coreProperties>
</file>